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S:\Budžeta_attīstības_nodaļa\IZDEVUMU_PARSKATISANA\2025\_INFO_ZINOJUMS\"/>
    </mc:Choice>
  </mc:AlternateContent>
  <xr:revisionPtr revIDLastSave="0" documentId="13_ncr:1_{C2A7FA52-781E-4008-96A9-FE3EF3F4B976}" xr6:coauthVersionLast="47" xr6:coauthVersionMax="47" xr10:uidLastSave="{00000000-0000-0000-0000-000000000000}"/>
  <bookViews>
    <workbookView xWindow="38330" yWindow="-10290" windowWidth="17330" windowHeight="19460" firstSheet="3" activeTab="3" xr2:uid="{A10BC5C4-B8F0-4797-BEB8-4A0CBCA05B2D}"/>
  </bookViews>
  <sheets>
    <sheet name="Īsais_2026_2027_2028 (2)" sheetId="13" state="hidden" r:id="rId1"/>
    <sheet name="Grafiks" sheetId="11" state="hidden" r:id="rId2"/>
    <sheet name="Apkopojums (2)" sheetId="14" state="hidden" r:id="rId3"/>
    <sheet name="7.pielikums" sheetId="1" r:id="rId4"/>
    <sheet name="EKK_kopsavilkums" sheetId="12" state="hidden" r:id="rId5"/>
    <sheet name="Novērtējums" sheetId="3" state="hidden" r:id="rId6"/>
    <sheet name="Algas_Vkanc" sheetId="7" state="hidden" r:id="rId7"/>
    <sheet name="Piemaksas_Prēmijas_Virsstundas" sheetId="4" state="hidden" r:id="rId8"/>
    <sheet name="Komunikatori" sheetId="5" state="hidden" r:id="rId9"/>
    <sheet name="piemaksas" sheetId="6" state="hidden" r:id="rId10"/>
    <sheet name="fondi" sheetId="8" state="hidden" r:id="rId11"/>
    <sheet name="Kompensācijas izmaiņas" sheetId="9" state="hidden" r:id="rId12"/>
  </sheets>
  <externalReferences>
    <externalReference r:id="rId13"/>
  </externalReferences>
  <definedNames>
    <definedName name="_xlnm._FilterDatabase" localSheetId="3" hidden="1">'7.pielikums'!$B$5:$I$316</definedName>
    <definedName name="_xlnm._FilterDatabase" localSheetId="2" hidden="1">'Apkopojums (2)'!$B$2:$M$436</definedName>
    <definedName name="_xlnm._FilterDatabase" localSheetId="4" hidden="1">EKK_kopsavilkums!$B$2:$M$435</definedName>
    <definedName name="_xlnm._FilterDatabase" localSheetId="8" hidden="1">Komunikatori!$E$5:$F$21</definedName>
    <definedName name="_xlnm.Print_Titles" localSheetId="3">'7.pielikums'!$5:$6</definedName>
    <definedName name="_xlnm.Print_Titles" localSheetId="2">'Apkopojums (2)'!$2:$3</definedName>
    <definedName name="_xlnm.Print_Titles" localSheetId="4">EKK_kopsavilkums!$2:$3</definedName>
    <definedName name="_xlnm.Print_Titles" localSheetId="9">piemaksas!$1:$1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5" i="1" l="1"/>
  <c r="I316" i="1"/>
  <c r="F316" i="1"/>
  <c r="H316" i="1"/>
  <c r="G316" i="1"/>
  <c r="F317" i="1"/>
  <c r="G190" i="1"/>
  <c r="H190" i="1"/>
  <c r="I190" i="1"/>
  <c r="F190" i="1"/>
  <c r="G317" i="1"/>
  <c r="H317" i="1"/>
  <c r="I317" i="1"/>
  <c r="F281" i="1" l="1"/>
  <c r="G140" i="1"/>
  <c r="H140" i="1"/>
  <c r="I140" i="1"/>
  <c r="F140" i="1"/>
  <c r="F26" i="1" l="1"/>
  <c r="F319" i="1"/>
  <c r="G9" i="1" l="1"/>
  <c r="H9" i="1"/>
  <c r="I9" i="1"/>
  <c r="F9" i="1"/>
  <c r="G201" i="1"/>
  <c r="H201" i="1"/>
  <c r="I201" i="1"/>
  <c r="F201" i="1"/>
  <c r="G213" i="1"/>
  <c r="H213" i="1"/>
  <c r="I213" i="1"/>
  <c r="F213" i="1"/>
  <c r="F340" i="1" l="1"/>
  <c r="F215" i="1"/>
  <c r="I31" i="1"/>
  <c r="I29" i="1" s="1"/>
  <c r="H31" i="1"/>
  <c r="H29" i="1" s="1"/>
  <c r="G31" i="1"/>
  <c r="G29" i="1" s="1"/>
  <c r="I58" i="1"/>
  <c r="G215" i="1" l="1"/>
  <c r="H215" i="1"/>
  <c r="I215" i="1"/>
  <c r="H327" i="1"/>
  <c r="I327" i="1"/>
  <c r="G328" i="1"/>
  <c r="G327" i="1" s="1"/>
  <c r="F328" i="1"/>
  <c r="G338" i="1" l="1"/>
  <c r="H338" i="1"/>
  <c r="I338" i="1"/>
  <c r="F338" i="1"/>
  <c r="G332" i="1"/>
  <c r="H332" i="1"/>
  <c r="I332" i="1"/>
  <c r="F332" i="1"/>
  <c r="F330" i="1"/>
  <c r="F327" i="1"/>
  <c r="G325" i="1"/>
  <c r="H325" i="1"/>
  <c r="I325" i="1"/>
  <c r="F325" i="1"/>
  <c r="G323" i="1" l="1"/>
  <c r="H323" i="1"/>
  <c r="I323" i="1"/>
  <c r="F323" i="1"/>
  <c r="G12" i="1"/>
  <c r="H12" i="1"/>
  <c r="I12" i="1"/>
  <c r="G321" i="1"/>
  <c r="G8" i="1" s="1"/>
  <c r="H321" i="1"/>
  <c r="I321" i="1"/>
  <c r="F321" i="1"/>
  <c r="F8" i="1" l="1"/>
  <c r="H8" i="1"/>
  <c r="I8" i="1"/>
  <c r="L436" i="14"/>
  <c r="L435" i="14"/>
  <c r="I435" i="14"/>
  <c r="H435" i="14"/>
  <c r="G435" i="14"/>
  <c r="G430" i="14" s="1"/>
  <c r="L434" i="14"/>
  <c r="I434" i="14"/>
  <c r="I433" i="14" s="1"/>
  <c r="H434" i="14"/>
  <c r="H430" i="14" s="1"/>
  <c r="G434" i="14"/>
  <c r="F434" i="14"/>
  <c r="G433" i="14"/>
  <c r="F433" i="14"/>
  <c r="F432" i="14"/>
  <c r="I430" i="14"/>
  <c r="F430" i="14"/>
  <c r="L429" i="14"/>
  <c r="L428" i="14"/>
  <c r="L427" i="14"/>
  <c r="L426" i="14"/>
  <c r="L425" i="14"/>
  <c r="L424" i="14"/>
  <c r="L423" i="14"/>
  <c r="L422" i="14"/>
  <c r="L421" i="14"/>
  <c r="L420" i="14"/>
  <c r="L419" i="14"/>
  <c r="L418" i="14"/>
  <c r="L417" i="14"/>
  <c r="L416" i="14"/>
  <c r="L415" i="14"/>
  <c r="L414" i="14"/>
  <c r="L413" i="14"/>
  <c r="L412" i="14"/>
  <c r="L411" i="14"/>
  <c r="L410" i="14"/>
  <c r="L409" i="14"/>
  <c r="L408" i="14"/>
  <c r="L407" i="14"/>
  <c r="L406" i="14"/>
  <c r="L405" i="14"/>
  <c r="L404" i="14"/>
  <c r="L403" i="14"/>
  <c r="I402" i="14"/>
  <c r="H402" i="14"/>
  <c r="G402" i="14"/>
  <c r="F402" i="14"/>
  <c r="I401" i="14"/>
  <c r="H401" i="14"/>
  <c r="G401" i="14"/>
  <c r="F401" i="14"/>
  <c r="I400" i="14"/>
  <c r="H400" i="14"/>
  <c r="G400" i="14"/>
  <c r="F400" i="14"/>
  <c r="I399" i="14"/>
  <c r="H399" i="14"/>
  <c r="G399" i="14"/>
  <c r="F399" i="14"/>
  <c r="I398" i="14"/>
  <c r="H398" i="14"/>
  <c r="G398" i="14"/>
  <c r="F398" i="14"/>
  <c r="I395" i="14"/>
  <c r="H395" i="14"/>
  <c r="G395" i="14"/>
  <c r="F395" i="14"/>
  <c r="F397" i="14" s="1"/>
  <c r="L394" i="14"/>
  <c r="I394" i="14"/>
  <c r="H394" i="14"/>
  <c r="G394" i="14"/>
  <c r="G388" i="14" s="1"/>
  <c r="F394" i="14"/>
  <c r="F388" i="14" s="1"/>
  <c r="I393" i="14"/>
  <c r="I387" i="14" s="1"/>
  <c r="H393" i="14"/>
  <c r="H384" i="14" s="1"/>
  <c r="G393" i="14"/>
  <c r="G384" i="14" s="1"/>
  <c r="F393" i="14"/>
  <c r="L391" i="14" s="1"/>
  <c r="L390" i="14"/>
  <c r="I389" i="14"/>
  <c r="H389" i="14"/>
  <c r="G389" i="14"/>
  <c r="F389" i="14"/>
  <c r="I388" i="14"/>
  <c r="H388" i="14"/>
  <c r="G387" i="14"/>
  <c r="I384" i="14"/>
  <c r="I383" i="14"/>
  <c r="H383" i="14"/>
  <c r="G383" i="14"/>
  <c r="F383" i="14"/>
  <c r="F339" i="14" s="1"/>
  <c r="I382" i="14"/>
  <c r="H382" i="14"/>
  <c r="G382" i="14"/>
  <c r="F382" i="14"/>
  <c r="L382" i="14" s="1"/>
  <c r="L381" i="14"/>
  <c r="L380" i="14"/>
  <c r="L379" i="14"/>
  <c r="L378" i="14"/>
  <c r="L377" i="14"/>
  <c r="L376" i="14"/>
  <c r="L375" i="14"/>
  <c r="L374" i="14"/>
  <c r="L373" i="14"/>
  <c r="L372" i="14"/>
  <c r="L371" i="14"/>
  <c r="L370" i="14"/>
  <c r="L369" i="14"/>
  <c r="L368" i="14"/>
  <c r="F367" i="14"/>
  <c r="L366" i="14"/>
  <c r="I366" i="14"/>
  <c r="H366" i="14"/>
  <c r="G366" i="14"/>
  <c r="G332" i="14" s="1"/>
  <c r="F366" i="14"/>
  <c r="L364" i="14"/>
  <c r="L363" i="14"/>
  <c r="L362" i="14"/>
  <c r="L361" i="14"/>
  <c r="L360" i="14"/>
  <c r="L358" i="14"/>
  <c r="L357" i="14"/>
  <c r="L355" i="14"/>
  <c r="L352" i="14"/>
  <c r="L351" i="14"/>
  <c r="L350" i="14"/>
  <c r="L349" i="14"/>
  <c r="L348" i="14"/>
  <c r="I348" i="14"/>
  <c r="H348" i="14"/>
  <c r="H332" i="14" s="1"/>
  <c r="G348" i="14"/>
  <c r="F348" i="14"/>
  <c r="L347" i="14"/>
  <c r="L346" i="14"/>
  <c r="L345" i="14"/>
  <c r="L344" i="14"/>
  <c r="L343" i="14"/>
  <c r="L342" i="14"/>
  <c r="L341" i="14"/>
  <c r="I340" i="14"/>
  <c r="H340" i="14"/>
  <c r="G340" i="14"/>
  <c r="F340" i="14"/>
  <c r="I339" i="14"/>
  <c r="H339" i="14"/>
  <c r="G339" i="14"/>
  <c r="I338" i="14"/>
  <c r="H338" i="14"/>
  <c r="G338" i="14"/>
  <c r="F338" i="14"/>
  <c r="I337" i="14"/>
  <c r="G337" i="14"/>
  <c r="F337" i="14"/>
  <c r="I336" i="14"/>
  <c r="H336" i="14"/>
  <c r="G336" i="14"/>
  <c r="F336" i="14"/>
  <c r="I335" i="14"/>
  <c r="H335" i="14"/>
  <c r="G335" i="14"/>
  <c r="F335" i="14"/>
  <c r="I332" i="14"/>
  <c r="L331" i="14"/>
  <c r="L330" i="14"/>
  <c r="I329" i="14"/>
  <c r="H329" i="14"/>
  <c r="G329" i="14"/>
  <c r="F329" i="14"/>
  <c r="I326" i="14"/>
  <c r="H326" i="14"/>
  <c r="G326" i="14"/>
  <c r="F326" i="14"/>
  <c r="F328" i="14" s="1"/>
  <c r="L325" i="14"/>
  <c r="L323" i="14"/>
  <c r="L322" i="14"/>
  <c r="L321" i="14"/>
  <c r="L320" i="14"/>
  <c r="L319" i="14"/>
  <c r="L318" i="14"/>
  <c r="L317" i="14"/>
  <c r="L316" i="14"/>
  <c r="L315" i="14"/>
  <c r="L313" i="14"/>
  <c r="L312" i="14"/>
  <c r="I311" i="14"/>
  <c r="H311" i="14"/>
  <c r="G311" i="14"/>
  <c r="F311" i="14"/>
  <c r="I310" i="14"/>
  <c r="H310" i="14"/>
  <c r="G310" i="14"/>
  <c r="F310" i="14"/>
  <c r="I309" i="14"/>
  <c r="H309" i="14"/>
  <c r="G309" i="14"/>
  <c r="F309" i="14"/>
  <c r="I308" i="14"/>
  <c r="H308" i="14"/>
  <c r="G308" i="14"/>
  <c r="F308" i="14"/>
  <c r="I307" i="14"/>
  <c r="H307" i="14"/>
  <c r="G307" i="14"/>
  <c r="F307" i="14"/>
  <c r="I304" i="14"/>
  <c r="H304" i="14"/>
  <c r="G304" i="14"/>
  <c r="F304" i="14"/>
  <c r="F306" i="14" s="1"/>
  <c r="L303" i="14"/>
  <c r="L302" i="14"/>
  <c r="I301" i="14"/>
  <c r="H301" i="14"/>
  <c r="G301" i="14"/>
  <c r="F301" i="14"/>
  <c r="I300" i="14"/>
  <c r="H300" i="14"/>
  <c r="G300" i="14"/>
  <c r="F300" i="14"/>
  <c r="I297" i="14"/>
  <c r="H297" i="14"/>
  <c r="G297" i="14"/>
  <c r="F297" i="14"/>
  <c r="F299" i="14" s="1"/>
  <c r="L296" i="14"/>
  <c r="L295" i="14"/>
  <c r="L294" i="14"/>
  <c r="L293" i="14"/>
  <c r="L292" i="14"/>
  <c r="L291" i="14"/>
  <c r="L290" i="14"/>
  <c r="L289" i="14"/>
  <c r="L288" i="14"/>
  <c r="L287" i="14"/>
  <c r="L286" i="14"/>
  <c r="L285" i="14"/>
  <c r="I284" i="14"/>
  <c r="H284" i="14"/>
  <c r="G284" i="14"/>
  <c r="F284" i="14"/>
  <c r="I283" i="14"/>
  <c r="H283" i="14"/>
  <c r="G283" i="14"/>
  <c r="F283" i="14"/>
  <c r="I282" i="14"/>
  <c r="H282" i="14"/>
  <c r="G282" i="14"/>
  <c r="F282" i="14"/>
  <c r="I281" i="14"/>
  <c r="H281" i="14"/>
  <c r="G281" i="14"/>
  <c r="F281" i="14"/>
  <c r="I280" i="14"/>
  <c r="H280" i="14"/>
  <c r="G280" i="14"/>
  <c r="F280" i="14"/>
  <c r="I277" i="14"/>
  <c r="H277" i="14"/>
  <c r="G277" i="14"/>
  <c r="F277" i="14"/>
  <c r="F279" i="14" s="1"/>
  <c r="L275" i="14"/>
  <c r="L274" i="14"/>
  <c r="L273" i="14"/>
  <c r="L272" i="14"/>
  <c r="L271" i="14"/>
  <c r="L270" i="14"/>
  <c r="I269" i="14"/>
  <c r="H269" i="14"/>
  <c r="H260" i="14" s="1"/>
  <c r="G269" i="14"/>
  <c r="F269" i="14"/>
  <c r="L269" i="14" s="1"/>
  <c r="L268" i="14"/>
  <c r="L267" i="14"/>
  <c r="I266" i="14"/>
  <c r="H266" i="14"/>
  <c r="G266" i="14"/>
  <c r="F266" i="14"/>
  <c r="I265" i="14"/>
  <c r="H265" i="14"/>
  <c r="G265" i="14"/>
  <c r="I264" i="14"/>
  <c r="H264" i="14"/>
  <c r="G264" i="14"/>
  <c r="F264" i="14"/>
  <c r="I263" i="14"/>
  <c r="H263" i="14"/>
  <c r="G263" i="14"/>
  <c r="F263" i="14"/>
  <c r="I260" i="14"/>
  <c r="G260" i="14"/>
  <c r="L259" i="14"/>
  <c r="L258" i="14"/>
  <c r="L257" i="14"/>
  <c r="L256" i="14"/>
  <c r="L255" i="14"/>
  <c r="L254" i="14"/>
  <c r="L253" i="14"/>
  <c r="L252" i="14"/>
  <c r="L251" i="14"/>
  <c r="L250" i="14"/>
  <c r="L249" i="14"/>
  <c r="L248" i="14"/>
  <c r="L247" i="14"/>
  <c r="L246" i="14"/>
  <c r="L245" i="14"/>
  <c r="L244" i="14"/>
  <c r="L243" i="14"/>
  <c r="L242" i="14"/>
  <c r="L241" i="14"/>
  <c r="L240" i="14"/>
  <c r="L239" i="14"/>
  <c r="L238" i="14"/>
  <c r="L237" i="14"/>
  <c r="L236" i="14"/>
  <c r="L235" i="14"/>
  <c r="L234" i="14"/>
  <c r="L233" i="14"/>
  <c r="L232" i="14"/>
  <c r="L231" i="14"/>
  <c r="L230" i="14"/>
  <c r="L229" i="14"/>
  <c r="L228" i="14"/>
  <c r="L227" i="14"/>
  <c r="L226" i="14"/>
  <c r="L225" i="14"/>
  <c r="L224" i="14"/>
  <c r="L223" i="14"/>
  <c r="L222" i="14"/>
  <c r="L221" i="14"/>
  <c r="I220" i="14"/>
  <c r="H220" i="14"/>
  <c r="G220" i="14"/>
  <c r="F220" i="14"/>
  <c r="I219" i="14"/>
  <c r="H219" i="14"/>
  <c r="G219" i="14"/>
  <c r="F219" i="14"/>
  <c r="I218" i="14"/>
  <c r="H218" i="14"/>
  <c r="G218" i="14"/>
  <c r="F218" i="14"/>
  <c r="I217" i="14"/>
  <c r="H217" i="14"/>
  <c r="G217" i="14"/>
  <c r="F217" i="14"/>
  <c r="I216" i="14"/>
  <c r="H216" i="14"/>
  <c r="G216" i="14"/>
  <c r="F216" i="14"/>
  <c r="I213" i="14"/>
  <c r="H213" i="14"/>
  <c r="G213" i="14"/>
  <c r="F213" i="14"/>
  <c r="F215" i="14" s="1"/>
  <c r="L212" i="14"/>
  <c r="L210" i="14"/>
  <c r="L208" i="14"/>
  <c r="L206" i="14"/>
  <c r="L205" i="14"/>
  <c r="L204" i="14"/>
  <c r="L203" i="14"/>
  <c r="L202" i="14"/>
  <c r="L201" i="14"/>
  <c r="L200" i="14"/>
  <c r="L199" i="14"/>
  <c r="L198" i="14"/>
  <c r="I197" i="14"/>
  <c r="H197" i="14"/>
  <c r="G197" i="14"/>
  <c r="F197" i="14"/>
  <c r="I196" i="14"/>
  <c r="H196" i="14"/>
  <c r="G196" i="14"/>
  <c r="F196" i="14"/>
  <c r="I195" i="14"/>
  <c r="H195" i="14"/>
  <c r="G195" i="14"/>
  <c r="F195" i="14"/>
  <c r="I194" i="14"/>
  <c r="H194" i="14"/>
  <c r="G194" i="14"/>
  <c r="F194" i="14"/>
  <c r="I191" i="14"/>
  <c r="H191" i="14"/>
  <c r="G191" i="14"/>
  <c r="F191" i="14"/>
  <c r="F193" i="14" s="1"/>
  <c r="L190" i="14"/>
  <c r="L189" i="14"/>
  <c r="L188" i="14"/>
  <c r="L187" i="14"/>
  <c r="L186" i="14"/>
  <c r="L185" i="14"/>
  <c r="L184" i="14"/>
  <c r="L183" i="14"/>
  <c r="L182" i="14"/>
  <c r="L181" i="14"/>
  <c r="I180" i="14"/>
  <c r="H180" i="14"/>
  <c r="G180" i="14"/>
  <c r="F180" i="14"/>
  <c r="I179" i="14"/>
  <c r="H179" i="14"/>
  <c r="G179" i="14"/>
  <c r="F179" i="14"/>
  <c r="I178" i="14"/>
  <c r="H178" i="14"/>
  <c r="G178" i="14"/>
  <c r="F178" i="14"/>
  <c r="I175" i="14"/>
  <c r="H175" i="14"/>
  <c r="G175" i="14"/>
  <c r="F175" i="14"/>
  <c r="F177" i="14" s="1"/>
  <c r="L174" i="14"/>
  <c r="G174" i="14"/>
  <c r="H174" i="14" s="1"/>
  <c r="I174" i="14" s="1"/>
  <c r="L173" i="14"/>
  <c r="G173" i="14"/>
  <c r="G119" i="14" s="1"/>
  <c r="F172" i="14"/>
  <c r="L172" i="14" s="1"/>
  <c r="L171" i="14"/>
  <c r="L170" i="14"/>
  <c r="H170" i="14"/>
  <c r="I170" i="14" s="1"/>
  <c r="F170" i="14"/>
  <c r="L169" i="14"/>
  <c r="F169" i="14"/>
  <c r="G169" i="14" s="1"/>
  <c r="H169" i="14" s="1"/>
  <c r="I169" i="14" s="1"/>
  <c r="L168" i="14"/>
  <c r="I168" i="14"/>
  <c r="H168" i="14"/>
  <c r="L167" i="14"/>
  <c r="L166" i="14"/>
  <c r="L165" i="14"/>
  <c r="G165" i="14"/>
  <c r="H165" i="14" s="1"/>
  <c r="L164" i="14"/>
  <c r="I163" i="14"/>
  <c r="H163" i="14"/>
  <c r="G163" i="14"/>
  <c r="F163" i="14"/>
  <c r="L163" i="14" s="1"/>
  <c r="I162" i="14"/>
  <c r="H162" i="14"/>
  <c r="G162" i="14"/>
  <c r="F162" i="14"/>
  <c r="F8" i="14" s="1"/>
  <c r="I161" i="14"/>
  <c r="H161" i="14"/>
  <c r="G161" i="14"/>
  <c r="F161" i="14"/>
  <c r="L161" i="14" s="1"/>
  <c r="I160" i="14"/>
  <c r="H160" i="14"/>
  <c r="G160" i="14"/>
  <c r="F160" i="14"/>
  <c r="L160" i="14" s="1"/>
  <c r="L159" i="14"/>
  <c r="G159" i="14"/>
  <c r="H159" i="14" s="1"/>
  <c r="L158" i="14"/>
  <c r="G158" i="14"/>
  <c r="H158" i="14" s="1"/>
  <c r="L157" i="14"/>
  <c r="L156" i="14"/>
  <c r="L155" i="14"/>
  <c r="G155" i="14"/>
  <c r="H155" i="14" s="1"/>
  <c r="I155" i="14" s="1"/>
  <c r="L154" i="14"/>
  <c r="G154" i="14"/>
  <c r="H154" i="14" s="1"/>
  <c r="I154" i="14" s="1"/>
  <c r="L153" i="14"/>
  <c r="G153" i="14"/>
  <c r="H153" i="14" s="1"/>
  <c r="I153" i="14" s="1"/>
  <c r="L152" i="14"/>
  <c r="G152" i="14"/>
  <c r="H152" i="14" s="1"/>
  <c r="I152" i="14" s="1"/>
  <c r="L151" i="14"/>
  <c r="L150" i="14"/>
  <c r="L149" i="14"/>
  <c r="L148" i="14"/>
  <c r="L147" i="14"/>
  <c r="L146" i="14"/>
  <c r="L145" i="14"/>
  <c r="F144" i="14"/>
  <c r="L144" i="14" s="1"/>
  <c r="F143" i="14"/>
  <c r="G143" i="14" s="1"/>
  <c r="L142" i="14"/>
  <c r="L141" i="14"/>
  <c r="L140" i="14"/>
  <c r="L139" i="14"/>
  <c r="L138" i="14"/>
  <c r="L137" i="14"/>
  <c r="L136" i="14"/>
  <c r="L135" i="14"/>
  <c r="L134" i="14"/>
  <c r="L133" i="14"/>
  <c r="L132" i="14"/>
  <c r="L131" i="14"/>
  <c r="L130" i="14"/>
  <c r="L129" i="14"/>
  <c r="L127" i="14"/>
  <c r="G127" i="14"/>
  <c r="F127" i="14"/>
  <c r="L126" i="14"/>
  <c r="L125" i="14"/>
  <c r="L124" i="14"/>
  <c r="L123" i="14"/>
  <c r="L122" i="14"/>
  <c r="L121" i="14"/>
  <c r="F121" i="14"/>
  <c r="L120" i="14"/>
  <c r="F119" i="14"/>
  <c r="G118" i="14"/>
  <c r="F118" i="14"/>
  <c r="F116" i="14"/>
  <c r="F113" i="14"/>
  <c r="F115" i="14" s="1"/>
  <c r="L111" i="14"/>
  <c r="L110" i="14"/>
  <c r="L109" i="14"/>
  <c r="L108" i="14"/>
  <c r="L107" i="14"/>
  <c r="L106" i="14"/>
  <c r="L105" i="14"/>
  <c r="L104" i="14"/>
  <c r="L103" i="14"/>
  <c r="L102" i="14"/>
  <c r="L101" i="14"/>
  <c r="L100" i="14"/>
  <c r="L99" i="14"/>
  <c r="L98" i="14"/>
  <c r="L97" i="14"/>
  <c r="I96" i="14"/>
  <c r="H96" i="14"/>
  <c r="G96" i="14"/>
  <c r="F96" i="14"/>
  <c r="I95" i="14"/>
  <c r="H95" i="14"/>
  <c r="G95" i="14"/>
  <c r="F95" i="14"/>
  <c r="I94" i="14"/>
  <c r="H94" i="14"/>
  <c r="G94" i="14"/>
  <c r="F94" i="14"/>
  <c r="I93" i="14"/>
  <c r="H93" i="14"/>
  <c r="G93" i="14"/>
  <c r="F93" i="14"/>
  <c r="I92" i="14"/>
  <c r="H92" i="14"/>
  <c r="G92" i="14"/>
  <c r="F92" i="14"/>
  <c r="I89" i="14"/>
  <c r="H89" i="14"/>
  <c r="G89" i="14"/>
  <c r="F89" i="14"/>
  <c r="L88" i="14"/>
  <c r="L85" i="14"/>
  <c r="K85" i="14"/>
  <c r="L84" i="14"/>
  <c r="L82" i="14"/>
  <c r="L80" i="14"/>
  <c r="L78" i="14"/>
  <c r="L77" i="14"/>
  <c r="I76" i="14"/>
  <c r="H76" i="14"/>
  <c r="G76" i="14"/>
  <c r="F76" i="14"/>
  <c r="I75" i="14"/>
  <c r="H75" i="14"/>
  <c r="G75" i="14"/>
  <c r="F75" i="14"/>
  <c r="I74" i="14"/>
  <c r="H74" i="14"/>
  <c r="G74" i="14"/>
  <c r="F74" i="14"/>
  <c r="I73" i="14"/>
  <c r="H73" i="14"/>
  <c r="G73" i="14"/>
  <c r="F73" i="14"/>
  <c r="I72" i="14"/>
  <c r="H72" i="14"/>
  <c r="G72" i="14"/>
  <c r="F72" i="14"/>
  <c r="I71" i="14"/>
  <c r="H71" i="14"/>
  <c r="G71" i="14"/>
  <c r="F71" i="14"/>
  <c r="I68" i="14"/>
  <c r="H68" i="14"/>
  <c r="G68" i="14"/>
  <c r="F68" i="14"/>
  <c r="F70" i="14" s="1"/>
  <c r="L67" i="14"/>
  <c r="L66" i="14"/>
  <c r="L65" i="14"/>
  <c r="L64" i="14"/>
  <c r="L63" i="14"/>
  <c r="L62" i="14"/>
  <c r="L61" i="14"/>
  <c r="L60" i="14"/>
  <c r="L59" i="14"/>
  <c r="I58" i="14"/>
  <c r="H58" i="14"/>
  <c r="G58" i="14"/>
  <c r="F58" i="14"/>
  <c r="I57" i="14"/>
  <c r="H57" i="14"/>
  <c r="G57" i="14"/>
  <c r="F57" i="14"/>
  <c r="I54" i="14"/>
  <c r="H54" i="14"/>
  <c r="G54" i="14"/>
  <c r="F54" i="14"/>
  <c r="F56" i="14" s="1"/>
  <c r="L51" i="14"/>
  <c r="L49" i="14"/>
  <c r="L48" i="14"/>
  <c r="I47" i="14"/>
  <c r="H47" i="14"/>
  <c r="G47" i="14"/>
  <c r="F47" i="14"/>
  <c r="I46" i="14"/>
  <c r="H46" i="14"/>
  <c r="G46" i="14"/>
  <c r="F46" i="14"/>
  <c r="I43" i="14"/>
  <c r="H43" i="14"/>
  <c r="G43" i="14"/>
  <c r="F43" i="14"/>
  <c r="F45" i="14" s="1"/>
  <c r="L42" i="14"/>
  <c r="L41" i="14"/>
  <c r="L40" i="14"/>
  <c r="I39" i="14"/>
  <c r="H39" i="14"/>
  <c r="G39" i="14"/>
  <c r="F39" i="14"/>
  <c r="I38" i="14"/>
  <c r="H38" i="14"/>
  <c r="G38" i="14"/>
  <c r="F38" i="14"/>
  <c r="I37" i="14"/>
  <c r="H37" i="14"/>
  <c r="G37" i="14"/>
  <c r="F37" i="14"/>
  <c r="I34" i="14"/>
  <c r="H34" i="14"/>
  <c r="G34" i="14"/>
  <c r="F34" i="14"/>
  <c r="F36" i="14" s="1"/>
  <c r="L33" i="14"/>
  <c r="L32" i="14"/>
  <c r="L31" i="14"/>
  <c r="L30" i="14"/>
  <c r="L29" i="14"/>
  <c r="L28" i="14"/>
  <c r="L27" i="14"/>
  <c r="L26" i="14"/>
  <c r="L25" i="14"/>
  <c r="L24" i="14"/>
  <c r="L23" i="14"/>
  <c r="L22" i="14"/>
  <c r="L21" i="14"/>
  <c r="I20" i="14"/>
  <c r="H20" i="14"/>
  <c r="G20" i="14"/>
  <c r="F20" i="14"/>
  <c r="I19" i="14"/>
  <c r="H19" i="14"/>
  <c r="G19" i="14"/>
  <c r="F19" i="14"/>
  <c r="I18" i="14"/>
  <c r="H18" i="14"/>
  <c r="G18" i="14"/>
  <c r="F18" i="14"/>
  <c r="I17" i="14"/>
  <c r="H17" i="14"/>
  <c r="G17" i="14"/>
  <c r="F17" i="14"/>
  <c r="I14" i="14"/>
  <c r="H14" i="14"/>
  <c r="G14" i="14"/>
  <c r="F14" i="14"/>
  <c r="F16" i="14" s="1"/>
  <c r="I13" i="14"/>
  <c r="H13" i="14"/>
  <c r="G13" i="14"/>
  <c r="F13" i="14"/>
  <c r="I12" i="14"/>
  <c r="H12" i="14"/>
  <c r="G12" i="14"/>
  <c r="I11" i="14"/>
  <c r="H11" i="14"/>
  <c r="G11" i="14"/>
  <c r="F11" i="14"/>
  <c r="F10" i="14"/>
  <c r="G9" i="14"/>
  <c r="F9" i="14"/>
  <c r="G7" i="14"/>
  <c r="F7" i="14"/>
  <c r="F5" i="14"/>
  <c r="G10" i="14" l="1"/>
  <c r="G116" i="14"/>
  <c r="I158" i="14"/>
  <c r="H118" i="14"/>
  <c r="I165" i="14"/>
  <c r="H9" i="14"/>
  <c r="H143" i="14"/>
  <c r="G8" i="14"/>
  <c r="G117" i="14"/>
  <c r="G113" i="14"/>
  <c r="G4" i="14" s="1"/>
  <c r="H116" i="14"/>
  <c r="H7" i="14"/>
  <c r="I159" i="14"/>
  <c r="F117" i="14"/>
  <c r="H173" i="14"/>
  <c r="I173" i="14" s="1"/>
  <c r="F265" i="14"/>
  <c r="H337" i="14"/>
  <c r="L143" i="14"/>
  <c r="F332" i="14"/>
  <c r="F334" i="14" s="1"/>
  <c r="F387" i="14"/>
  <c r="F91" i="14"/>
  <c r="L162" i="14"/>
  <c r="F260" i="14"/>
  <c r="F262" i="14" s="1"/>
  <c r="L383" i="14"/>
  <c r="H387" i="14"/>
  <c r="H433" i="14"/>
  <c r="F384" i="14"/>
  <c r="F386" i="14" s="1"/>
  <c r="F12" i="14"/>
  <c r="F6" i="14" l="1"/>
  <c r="I9" i="14"/>
  <c r="I118" i="14"/>
  <c r="F4" i="14"/>
  <c r="H117" i="14"/>
  <c r="H113" i="14"/>
  <c r="H4" i="14" s="1"/>
  <c r="I143" i="14"/>
  <c r="H8" i="14"/>
  <c r="I7" i="14"/>
  <c r="I116" i="14"/>
  <c r="I119" i="14"/>
  <c r="I10" i="14"/>
  <c r="H10" i="14"/>
  <c r="H119" i="14"/>
  <c r="I117" i="14" l="1"/>
  <c r="I113" i="14"/>
  <c r="I4" i="14" s="1"/>
  <c r="I8" i="14"/>
  <c r="G58" i="1" l="1"/>
  <c r="H58" i="1"/>
  <c r="G129" i="1"/>
  <c r="H129" i="1"/>
  <c r="I129" i="1"/>
  <c r="F150" i="1"/>
  <c r="G150" i="1"/>
  <c r="H150" i="1"/>
  <c r="I150" i="1"/>
  <c r="G26" i="1" l="1"/>
  <c r="H26" i="1"/>
  <c r="I26" i="1"/>
  <c r="E14" i="13" l="1"/>
  <c r="E15" i="13" s="1"/>
  <c r="E17" i="13" s="1"/>
  <c r="D14" i="13"/>
  <c r="C14" i="13"/>
  <c r="B17" i="13"/>
  <c r="D15" i="13"/>
  <c r="D17" i="13" s="1"/>
  <c r="C15" i="13"/>
  <c r="C17" i="13" s="1"/>
  <c r="E6" i="13"/>
  <c r="D6" i="13"/>
  <c r="C6" i="13"/>
  <c r="G432" i="12" l="1"/>
  <c r="H432" i="12"/>
  <c r="I432" i="12"/>
  <c r="F432" i="12"/>
  <c r="G400" i="12" l="1"/>
  <c r="H400" i="12"/>
  <c r="I400" i="12"/>
  <c r="F400" i="12"/>
  <c r="G401" i="12"/>
  <c r="H401" i="12"/>
  <c r="I401" i="12"/>
  <c r="F401" i="12"/>
  <c r="G399" i="12"/>
  <c r="H399" i="12"/>
  <c r="I399" i="12"/>
  <c r="F399" i="12"/>
  <c r="G398" i="12"/>
  <c r="H398" i="12"/>
  <c r="I398" i="12"/>
  <c r="F398" i="12"/>
  <c r="G397" i="12"/>
  <c r="H397" i="12"/>
  <c r="I397" i="12"/>
  <c r="F397" i="12"/>
  <c r="G388" i="12"/>
  <c r="H388" i="12"/>
  <c r="I388" i="12"/>
  <c r="F388" i="12"/>
  <c r="G339" i="12"/>
  <c r="H339" i="12"/>
  <c r="I339" i="12"/>
  <c r="F339" i="12"/>
  <c r="G337" i="12"/>
  <c r="H337" i="12"/>
  <c r="I337" i="12"/>
  <c r="F337" i="12"/>
  <c r="G335" i="12"/>
  <c r="H335" i="12"/>
  <c r="I335" i="12"/>
  <c r="F335" i="12"/>
  <c r="G328" i="12"/>
  <c r="H328" i="12"/>
  <c r="I328" i="12"/>
  <c r="F328" i="12"/>
  <c r="G310" i="12"/>
  <c r="H310" i="12"/>
  <c r="I310" i="12"/>
  <c r="F310" i="12"/>
  <c r="G309" i="12"/>
  <c r="H309" i="12"/>
  <c r="I309" i="12"/>
  <c r="F309" i="12"/>
  <c r="G308" i="12"/>
  <c r="H308" i="12"/>
  <c r="I308" i="12"/>
  <c r="F308" i="12"/>
  <c r="G307" i="12"/>
  <c r="H307" i="12"/>
  <c r="I307" i="12"/>
  <c r="F307" i="12"/>
  <c r="G306" i="12"/>
  <c r="H306" i="12"/>
  <c r="I306" i="12"/>
  <c r="F306" i="12"/>
  <c r="G300" i="12"/>
  <c r="H300" i="12"/>
  <c r="I300" i="12"/>
  <c r="F300" i="12"/>
  <c r="G299" i="12"/>
  <c r="H299" i="12"/>
  <c r="I299" i="12"/>
  <c r="F299" i="12"/>
  <c r="G282" i="12"/>
  <c r="H282" i="12"/>
  <c r="I282" i="12"/>
  <c r="G283" i="12"/>
  <c r="H283" i="12"/>
  <c r="I283" i="12"/>
  <c r="F283" i="12"/>
  <c r="F282" i="12"/>
  <c r="G281" i="12"/>
  <c r="H281" i="12"/>
  <c r="I281" i="12"/>
  <c r="F281" i="12"/>
  <c r="G280" i="12"/>
  <c r="H280" i="12"/>
  <c r="I280" i="12"/>
  <c r="F280" i="12"/>
  <c r="G279" i="12"/>
  <c r="H279" i="12"/>
  <c r="I279" i="12"/>
  <c r="F279" i="12"/>
  <c r="G265" i="12" l="1"/>
  <c r="H265" i="12"/>
  <c r="I265" i="12"/>
  <c r="F265" i="12"/>
  <c r="G263" i="12"/>
  <c r="H263" i="12"/>
  <c r="I263" i="12"/>
  <c r="F263" i="12"/>
  <c r="G262" i="12"/>
  <c r="H262" i="12"/>
  <c r="I262" i="12"/>
  <c r="F262" i="12"/>
  <c r="G220" i="12"/>
  <c r="H220" i="12"/>
  <c r="I220" i="12"/>
  <c r="F220" i="12"/>
  <c r="G219" i="12"/>
  <c r="H219" i="12"/>
  <c r="I219" i="12"/>
  <c r="F219" i="12"/>
  <c r="G218" i="12"/>
  <c r="H218" i="12"/>
  <c r="I218" i="12"/>
  <c r="F218" i="12"/>
  <c r="G217" i="12"/>
  <c r="H217" i="12"/>
  <c r="I217" i="12"/>
  <c r="F217" i="12"/>
  <c r="G216" i="12"/>
  <c r="H216" i="12"/>
  <c r="I216" i="12"/>
  <c r="F216" i="12"/>
  <c r="G197" i="12"/>
  <c r="H197" i="12"/>
  <c r="I197" i="12"/>
  <c r="F197" i="12"/>
  <c r="G196" i="12"/>
  <c r="H196" i="12"/>
  <c r="I196" i="12"/>
  <c r="F196" i="12"/>
  <c r="G195" i="12"/>
  <c r="H195" i="12"/>
  <c r="I195" i="12"/>
  <c r="F195" i="12"/>
  <c r="G194" i="12"/>
  <c r="H194" i="12"/>
  <c r="I194" i="12"/>
  <c r="F194" i="12"/>
  <c r="G180" i="12"/>
  <c r="H180" i="12"/>
  <c r="I180" i="12"/>
  <c r="F180" i="12"/>
  <c r="G179" i="12"/>
  <c r="H179" i="12"/>
  <c r="I179" i="12"/>
  <c r="F179" i="12"/>
  <c r="G178" i="12"/>
  <c r="H178" i="12"/>
  <c r="I178" i="12"/>
  <c r="F178" i="12"/>
  <c r="F116" i="12"/>
  <c r="F119" i="12"/>
  <c r="F118" i="12"/>
  <c r="G96" i="12" l="1"/>
  <c r="H96" i="12"/>
  <c r="I96" i="12"/>
  <c r="F96" i="12"/>
  <c r="G95" i="12"/>
  <c r="H95" i="12"/>
  <c r="I95" i="12"/>
  <c r="F95" i="12"/>
  <c r="G94" i="12"/>
  <c r="H94" i="12"/>
  <c r="I94" i="12"/>
  <c r="F94" i="12"/>
  <c r="G93" i="12"/>
  <c r="H93" i="12"/>
  <c r="I93" i="12"/>
  <c r="F93" i="12"/>
  <c r="G92" i="12"/>
  <c r="H92" i="12"/>
  <c r="I92" i="12"/>
  <c r="F92" i="12"/>
  <c r="G20" i="12"/>
  <c r="H20" i="12"/>
  <c r="I20" i="12"/>
  <c r="F20" i="12"/>
  <c r="F18" i="12"/>
  <c r="F17" i="12"/>
  <c r="F14" i="12"/>
  <c r="G76" i="12"/>
  <c r="H76" i="12"/>
  <c r="I76" i="12"/>
  <c r="F76" i="12"/>
  <c r="F73" i="12"/>
  <c r="G75" i="12"/>
  <c r="H75" i="12"/>
  <c r="I75" i="12"/>
  <c r="F75" i="12"/>
  <c r="G74" i="12"/>
  <c r="H74" i="12"/>
  <c r="I74" i="12"/>
  <c r="F74" i="12"/>
  <c r="G73" i="12"/>
  <c r="H73" i="12"/>
  <c r="I73" i="12"/>
  <c r="G72" i="12"/>
  <c r="H72" i="12"/>
  <c r="I72" i="12"/>
  <c r="F72" i="12"/>
  <c r="G71" i="12"/>
  <c r="H71" i="12"/>
  <c r="I71" i="12"/>
  <c r="F71" i="12"/>
  <c r="G58" i="12"/>
  <c r="H58" i="12"/>
  <c r="I58" i="12"/>
  <c r="F58" i="12"/>
  <c r="G57" i="12"/>
  <c r="H57" i="12"/>
  <c r="I57" i="12"/>
  <c r="F57" i="12"/>
  <c r="G47" i="12"/>
  <c r="H47" i="12"/>
  <c r="I47" i="12"/>
  <c r="F47" i="12"/>
  <c r="G46" i="12"/>
  <c r="H46" i="12"/>
  <c r="I46" i="12"/>
  <c r="F46" i="12"/>
  <c r="G39" i="12"/>
  <c r="H39" i="12"/>
  <c r="I39" i="12"/>
  <c r="F39" i="12"/>
  <c r="G38" i="12"/>
  <c r="H38" i="12"/>
  <c r="I38" i="12"/>
  <c r="F38" i="12"/>
  <c r="G37" i="12"/>
  <c r="H37" i="12"/>
  <c r="I37" i="12"/>
  <c r="F37" i="12"/>
  <c r="G19" i="12"/>
  <c r="H19" i="12"/>
  <c r="I19" i="12"/>
  <c r="F19" i="12"/>
  <c r="G18" i="12"/>
  <c r="H18" i="12"/>
  <c r="I18" i="12"/>
  <c r="G17" i="12"/>
  <c r="H17" i="12"/>
  <c r="I17" i="12"/>
  <c r="L435" i="12" l="1"/>
  <c r="L434" i="12"/>
  <c r="I434" i="12"/>
  <c r="H434" i="12"/>
  <c r="G434" i="12"/>
  <c r="I433" i="12"/>
  <c r="H433" i="12"/>
  <c r="G433" i="12"/>
  <c r="F433" i="12"/>
  <c r="L433" i="12" s="1"/>
  <c r="L428" i="12"/>
  <c r="L427" i="12"/>
  <c r="L426" i="12"/>
  <c r="L425" i="12"/>
  <c r="L424" i="12"/>
  <c r="L423" i="12"/>
  <c r="L422" i="12"/>
  <c r="L421" i="12"/>
  <c r="L420" i="12"/>
  <c r="L419" i="12"/>
  <c r="L418" i="12"/>
  <c r="L417" i="12"/>
  <c r="L416" i="12"/>
  <c r="L415" i="12"/>
  <c r="L414" i="12"/>
  <c r="L413" i="12"/>
  <c r="L412" i="12"/>
  <c r="L411" i="12"/>
  <c r="L410" i="12"/>
  <c r="L409" i="12"/>
  <c r="L408" i="12"/>
  <c r="L407" i="12"/>
  <c r="L406" i="12"/>
  <c r="L405" i="12"/>
  <c r="L404" i="12"/>
  <c r="L403" i="12"/>
  <c r="L402" i="12"/>
  <c r="I394" i="12"/>
  <c r="H394" i="12"/>
  <c r="G394" i="12"/>
  <c r="F394" i="12"/>
  <c r="F396" i="12" s="1"/>
  <c r="I393" i="12"/>
  <c r="I387" i="12" s="1"/>
  <c r="H393" i="12"/>
  <c r="H387" i="12" s="1"/>
  <c r="G393" i="12"/>
  <c r="G387" i="12" s="1"/>
  <c r="F393" i="12"/>
  <c r="I392" i="12"/>
  <c r="I386" i="12" s="1"/>
  <c r="H392" i="12"/>
  <c r="H386" i="12" s="1"/>
  <c r="G392" i="12"/>
  <c r="G386" i="12" s="1"/>
  <c r="F392" i="12"/>
  <c r="L389" i="12"/>
  <c r="I382" i="12"/>
  <c r="H382" i="12"/>
  <c r="G382" i="12"/>
  <c r="F382" i="12"/>
  <c r="L382" i="12" s="1"/>
  <c r="I381" i="12"/>
  <c r="H381" i="12"/>
  <c r="G381" i="12"/>
  <c r="F381" i="12"/>
  <c r="L381" i="12" s="1"/>
  <c r="L380" i="12"/>
  <c r="L379" i="12"/>
  <c r="L378" i="12"/>
  <c r="L377" i="12"/>
  <c r="L376" i="12"/>
  <c r="L375" i="12"/>
  <c r="L374" i="12"/>
  <c r="L373" i="12"/>
  <c r="L372" i="12"/>
  <c r="L371" i="12"/>
  <c r="L370" i="12"/>
  <c r="L369" i="12"/>
  <c r="L368" i="12"/>
  <c r="L367" i="12"/>
  <c r="F366" i="12"/>
  <c r="I365" i="12"/>
  <c r="H365" i="12"/>
  <c r="G365" i="12"/>
  <c r="F365" i="12"/>
  <c r="F334" i="12" s="1"/>
  <c r="L363" i="12"/>
  <c r="L362" i="12"/>
  <c r="L361" i="12"/>
  <c r="L360" i="12"/>
  <c r="L359" i="12"/>
  <c r="L357" i="12"/>
  <c r="L356" i="12"/>
  <c r="L354" i="12"/>
  <c r="L351" i="12"/>
  <c r="L350" i="12"/>
  <c r="L349" i="12"/>
  <c r="L348" i="12"/>
  <c r="I347" i="12"/>
  <c r="I336" i="12" s="1"/>
  <c r="H347" i="12"/>
  <c r="H336" i="12" s="1"/>
  <c r="G347" i="12"/>
  <c r="G336" i="12" s="1"/>
  <c r="F347" i="12"/>
  <c r="L346" i="12"/>
  <c r="L345" i="12"/>
  <c r="L344" i="12"/>
  <c r="L343" i="12"/>
  <c r="L342" i="12"/>
  <c r="L341" i="12"/>
  <c r="L340" i="12"/>
  <c r="L330" i="12"/>
  <c r="L329" i="12"/>
  <c r="I325" i="12"/>
  <c r="H325" i="12"/>
  <c r="G325" i="12"/>
  <c r="F325" i="12"/>
  <c r="F327" i="12" s="1"/>
  <c r="L324" i="12"/>
  <c r="L322" i="12"/>
  <c r="L321" i="12"/>
  <c r="L320" i="12"/>
  <c r="L319" i="12"/>
  <c r="L318" i="12"/>
  <c r="L317" i="12"/>
  <c r="L316" i="12"/>
  <c r="L315" i="12"/>
  <c r="L314" i="12"/>
  <c r="L312" i="12"/>
  <c r="L311" i="12"/>
  <c r="I303" i="12"/>
  <c r="H303" i="12"/>
  <c r="G303" i="12"/>
  <c r="F303" i="12"/>
  <c r="F305" i="12" s="1"/>
  <c r="L302" i="12"/>
  <c r="L301" i="12"/>
  <c r="I296" i="12"/>
  <c r="H296" i="12"/>
  <c r="G296" i="12"/>
  <c r="F296" i="12"/>
  <c r="F298" i="12" s="1"/>
  <c r="L295" i="12"/>
  <c r="L294" i="12"/>
  <c r="L293" i="12"/>
  <c r="L292" i="12"/>
  <c r="L291" i="12"/>
  <c r="L290" i="12"/>
  <c r="L289" i="12"/>
  <c r="L288" i="12"/>
  <c r="L287" i="12"/>
  <c r="L286" i="12"/>
  <c r="L285" i="12"/>
  <c r="L284" i="12"/>
  <c r="I276" i="12"/>
  <c r="H276" i="12"/>
  <c r="G276" i="12"/>
  <c r="F276" i="12"/>
  <c r="F278" i="12" s="1"/>
  <c r="L274" i="12"/>
  <c r="L273" i="12"/>
  <c r="L272" i="12"/>
  <c r="L271" i="12"/>
  <c r="L270" i="12"/>
  <c r="L269" i="12"/>
  <c r="I268" i="12"/>
  <c r="H268" i="12"/>
  <c r="G268" i="12"/>
  <c r="F268" i="12"/>
  <c r="L267" i="12"/>
  <c r="L266"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I213" i="12"/>
  <c r="H213" i="12"/>
  <c r="G213" i="12"/>
  <c r="F213" i="12"/>
  <c r="F215" i="12" s="1"/>
  <c r="L212" i="12"/>
  <c r="L210" i="12"/>
  <c r="L208" i="12"/>
  <c r="L206" i="12"/>
  <c r="L205" i="12"/>
  <c r="L204" i="12"/>
  <c r="L203" i="12"/>
  <c r="L202" i="12"/>
  <c r="L201" i="12"/>
  <c r="L200" i="12"/>
  <c r="L199" i="12"/>
  <c r="L198" i="12"/>
  <c r="I191" i="12"/>
  <c r="H191" i="12"/>
  <c r="G191" i="12"/>
  <c r="F191" i="12"/>
  <c r="F193" i="12" s="1"/>
  <c r="L190" i="12"/>
  <c r="L189" i="12"/>
  <c r="L188" i="12"/>
  <c r="L187" i="12"/>
  <c r="L186" i="12"/>
  <c r="L185" i="12"/>
  <c r="L184" i="12"/>
  <c r="L183" i="12"/>
  <c r="L182" i="12"/>
  <c r="L181" i="12"/>
  <c r="I175" i="12"/>
  <c r="H175" i="12"/>
  <c r="G175" i="12"/>
  <c r="F175" i="12"/>
  <c r="F177" i="12" s="1"/>
  <c r="L174" i="12"/>
  <c r="G174" i="12"/>
  <c r="H174" i="12" s="1"/>
  <c r="I174" i="12" s="1"/>
  <c r="L173" i="12"/>
  <c r="G173" i="12"/>
  <c r="H173" i="12" s="1"/>
  <c r="I173" i="12" s="1"/>
  <c r="F172" i="12"/>
  <c r="L172" i="12" s="1"/>
  <c r="L171" i="12"/>
  <c r="H170" i="12"/>
  <c r="I170" i="12" s="1"/>
  <c r="F170" i="12"/>
  <c r="L170" i="12" s="1"/>
  <c r="F169" i="12"/>
  <c r="L169" i="12" s="1"/>
  <c r="L168" i="12"/>
  <c r="H168" i="12"/>
  <c r="I168" i="12" s="1"/>
  <c r="L167" i="12"/>
  <c r="L166" i="12"/>
  <c r="L165" i="12"/>
  <c r="G165" i="12"/>
  <c r="L164" i="12"/>
  <c r="I163" i="12"/>
  <c r="H163" i="12"/>
  <c r="G163" i="12"/>
  <c r="F163" i="12"/>
  <c r="L163" i="12" s="1"/>
  <c r="I162" i="12"/>
  <c r="H162" i="12"/>
  <c r="G162" i="12"/>
  <c r="F162" i="12"/>
  <c r="L162" i="12" s="1"/>
  <c r="I161" i="12"/>
  <c r="H161" i="12"/>
  <c r="G161" i="12"/>
  <c r="F161" i="12"/>
  <c r="L161" i="12" s="1"/>
  <c r="I160" i="12"/>
  <c r="H160" i="12"/>
  <c r="G160" i="12"/>
  <c r="F160" i="12"/>
  <c r="L160" i="12" s="1"/>
  <c r="L159" i="12"/>
  <c r="G159" i="12"/>
  <c r="L158" i="12"/>
  <c r="G158" i="12"/>
  <c r="L157" i="12"/>
  <c r="L156" i="12"/>
  <c r="L155" i="12"/>
  <c r="G155" i="12"/>
  <c r="H155" i="12" s="1"/>
  <c r="I155" i="12" s="1"/>
  <c r="L154" i="12"/>
  <c r="G154" i="12"/>
  <c r="H154" i="12" s="1"/>
  <c r="I154" i="12" s="1"/>
  <c r="L153" i="12"/>
  <c r="G153" i="12"/>
  <c r="H153" i="12" s="1"/>
  <c r="I153" i="12" s="1"/>
  <c r="L152" i="12"/>
  <c r="G152" i="12"/>
  <c r="H152" i="12" s="1"/>
  <c r="I152" i="12" s="1"/>
  <c r="L151" i="12"/>
  <c r="L150" i="12"/>
  <c r="L149" i="12"/>
  <c r="L148" i="12"/>
  <c r="L147" i="12"/>
  <c r="L146" i="12"/>
  <c r="L145" i="12"/>
  <c r="F144" i="12"/>
  <c r="L144" i="12" s="1"/>
  <c r="F143" i="12"/>
  <c r="G143" i="12" s="1"/>
  <c r="L142" i="12"/>
  <c r="L141" i="12"/>
  <c r="L140" i="12"/>
  <c r="L139" i="12"/>
  <c r="L138" i="12"/>
  <c r="L137" i="12"/>
  <c r="L136" i="12"/>
  <c r="L135" i="12"/>
  <c r="L134" i="12"/>
  <c r="L133" i="12"/>
  <c r="L132" i="12"/>
  <c r="L131" i="12"/>
  <c r="L130" i="12"/>
  <c r="L129" i="12"/>
  <c r="G127" i="12"/>
  <c r="F127" i="12"/>
  <c r="L127" i="12" s="1"/>
  <c r="L126" i="12"/>
  <c r="L125" i="12"/>
  <c r="L124" i="12"/>
  <c r="L123" i="12"/>
  <c r="L122" i="12"/>
  <c r="F121" i="12"/>
  <c r="L120" i="12"/>
  <c r="L111" i="12"/>
  <c r="L110" i="12"/>
  <c r="L109" i="12"/>
  <c r="L108" i="12"/>
  <c r="L107" i="12"/>
  <c r="L106" i="12"/>
  <c r="L105" i="12"/>
  <c r="L104" i="12"/>
  <c r="L103" i="12"/>
  <c r="L102" i="12"/>
  <c r="L101" i="12"/>
  <c r="L100" i="12"/>
  <c r="L99" i="12"/>
  <c r="L98" i="12"/>
  <c r="L97" i="12"/>
  <c r="I89" i="12"/>
  <c r="H89" i="12"/>
  <c r="G89" i="12"/>
  <c r="F89" i="12"/>
  <c r="F91" i="12" s="1"/>
  <c r="L88" i="12"/>
  <c r="K85" i="12"/>
  <c r="L85" i="12" s="1"/>
  <c r="L84" i="12"/>
  <c r="L82" i="12"/>
  <c r="L80" i="12"/>
  <c r="L78" i="12"/>
  <c r="L77" i="12"/>
  <c r="I68" i="12"/>
  <c r="H68" i="12"/>
  <c r="G68" i="12"/>
  <c r="F68" i="12"/>
  <c r="F70" i="12" s="1"/>
  <c r="L67" i="12"/>
  <c r="L66" i="12"/>
  <c r="L65" i="12"/>
  <c r="L64" i="12"/>
  <c r="L63" i="12"/>
  <c r="L62" i="12"/>
  <c r="L61" i="12"/>
  <c r="L60" i="12"/>
  <c r="L59" i="12"/>
  <c r="I54" i="12"/>
  <c r="H54" i="12"/>
  <c r="G54" i="12"/>
  <c r="F54" i="12"/>
  <c r="F56" i="12" s="1"/>
  <c r="L51" i="12"/>
  <c r="L49" i="12"/>
  <c r="L48" i="12"/>
  <c r="I43" i="12"/>
  <c r="H43" i="12"/>
  <c r="G43" i="12"/>
  <c r="F43" i="12"/>
  <c r="F45" i="12" s="1"/>
  <c r="L42" i="12"/>
  <c r="L41" i="12"/>
  <c r="L40" i="12"/>
  <c r="I34" i="12"/>
  <c r="H34" i="12"/>
  <c r="G34" i="12"/>
  <c r="F34" i="12"/>
  <c r="F36" i="12" s="1"/>
  <c r="L33" i="12"/>
  <c r="L32" i="12"/>
  <c r="L31" i="12"/>
  <c r="L30" i="12"/>
  <c r="L29" i="12"/>
  <c r="L28" i="12"/>
  <c r="L27" i="12"/>
  <c r="L26" i="12"/>
  <c r="L25" i="12"/>
  <c r="L24" i="12"/>
  <c r="L23" i="12"/>
  <c r="L22" i="12"/>
  <c r="L21" i="12"/>
  <c r="I14" i="12"/>
  <c r="H14" i="12"/>
  <c r="G14" i="12"/>
  <c r="F16" i="12"/>
  <c r="I13" i="12"/>
  <c r="H13" i="12"/>
  <c r="G13" i="12"/>
  <c r="F13" i="12"/>
  <c r="I11" i="12"/>
  <c r="H11" i="12"/>
  <c r="G11" i="12"/>
  <c r="F11" i="12"/>
  <c r="F7" i="12"/>
  <c r="F5" i="12"/>
  <c r="L390" i="12" l="1"/>
  <c r="F386" i="12"/>
  <c r="L393" i="12"/>
  <c r="F387" i="12"/>
  <c r="F338" i="12"/>
  <c r="L347" i="12"/>
  <c r="F336" i="12"/>
  <c r="G12" i="12"/>
  <c r="G338" i="12"/>
  <c r="G334" i="12"/>
  <c r="H12" i="12"/>
  <c r="H338" i="12"/>
  <c r="H334" i="12"/>
  <c r="I12" i="12"/>
  <c r="I338" i="12"/>
  <c r="I334" i="12"/>
  <c r="F259" i="12"/>
  <c r="F261" i="12" s="1"/>
  <c r="F264" i="12"/>
  <c r="H259" i="12"/>
  <c r="H264" i="12"/>
  <c r="G259" i="12"/>
  <c r="G264" i="12"/>
  <c r="I259" i="12"/>
  <c r="I264" i="12"/>
  <c r="H383" i="12"/>
  <c r="L121" i="12"/>
  <c r="F117" i="12"/>
  <c r="H158" i="12"/>
  <c r="H119" i="12" s="1"/>
  <c r="G119" i="12"/>
  <c r="G7" i="12"/>
  <c r="G116" i="12"/>
  <c r="H165" i="12"/>
  <c r="H118" i="12" s="1"/>
  <c r="G118" i="12"/>
  <c r="G429" i="12"/>
  <c r="H429" i="12"/>
  <c r="I429" i="12"/>
  <c r="F9" i="12"/>
  <c r="F429" i="12"/>
  <c r="F431" i="12" s="1"/>
  <c r="I331" i="12"/>
  <c r="F383" i="12"/>
  <c r="F385" i="12" s="1"/>
  <c r="F12" i="12"/>
  <c r="G331" i="12"/>
  <c r="G169" i="12"/>
  <c r="H169" i="12" s="1"/>
  <c r="I169" i="12" s="1"/>
  <c r="F113" i="12"/>
  <c r="F115" i="12" s="1"/>
  <c r="L143" i="12"/>
  <c r="L365" i="12"/>
  <c r="G383" i="12"/>
  <c r="G10" i="12"/>
  <c r="H331" i="12"/>
  <c r="I383" i="12"/>
  <c r="H143" i="12"/>
  <c r="L268" i="12"/>
  <c r="F8" i="12"/>
  <c r="F10" i="12"/>
  <c r="H159" i="12"/>
  <c r="H116" i="12" s="1"/>
  <c r="G9" i="12"/>
  <c r="F331" i="12"/>
  <c r="F333" i="12" s="1"/>
  <c r="C149" i="11"/>
  <c r="D149" i="11"/>
  <c r="E149" i="11"/>
  <c r="F149" i="11"/>
  <c r="B149" i="11"/>
  <c r="B118" i="11"/>
  <c r="C118" i="11"/>
  <c r="D118" i="11"/>
  <c r="E118" i="11"/>
  <c r="F118" i="11"/>
  <c r="B107" i="11"/>
  <c r="C107" i="11"/>
  <c r="D107" i="11"/>
  <c r="E107" i="11"/>
  <c r="F107" i="11"/>
  <c r="B108" i="11"/>
  <c r="C108" i="11"/>
  <c r="D108" i="11"/>
  <c r="E108" i="11"/>
  <c r="F108" i="11"/>
  <c r="B109" i="11"/>
  <c r="C109" i="11"/>
  <c r="D109" i="11"/>
  <c r="E109" i="11"/>
  <c r="F109" i="11"/>
  <c r="B110" i="11"/>
  <c r="C110" i="11"/>
  <c r="D110" i="11"/>
  <c r="E110" i="11"/>
  <c r="F110" i="11"/>
  <c r="B111" i="11"/>
  <c r="C111" i="11"/>
  <c r="D111" i="11"/>
  <c r="E111" i="11"/>
  <c r="F111" i="11"/>
  <c r="B112" i="11"/>
  <c r="C112" i="11"/>
  <c r="D112" i="11"/>
  <c r="E112" i="11"/>
  <c r="F112" i="11"/>
  <c r="B113" i="11"/>
  <c r="C113" i="11"/>
  <c r="D113" i="11"/>
  <c r="E113" i="11"/>
  <c r="F113" i="11"/>
  <c r="B114" i="11"/>
  <c r="C114" i="11"/>
  <c r="D114" i="11"/>
  <c r="E114" i="11"/>
  <c r="F114" i="11"/>
  <c r="B115" i="11"/>
  <c r="C115" i="11"/>
  <c r="D115" i="11"/>
  <c r="E115" i="11"/>
  <c r="F115" i="11"/>
  <c r="B116" i="11"/>
  <c r="C116" i="11"/>
  <c r="D116" i="11"/>
  <c r="E116" i="11"/>
  <c r="F116" i="11"/>
  <c r="B117" i="11"/>
  <c r="C117" i="11"/>
  <c r="D117" i="11"/>
  <c r="E117" i="11"/>
  <c r="F117" i="11"/>
  <c r="B119" i="11"/>
  <c r="C119" i="11"/>
  <c r="D119" i="11"/>
  <c r="E119" i="11"/>
  <c r="F119" i="11"/>
  <c r="B120" i="11"/>
  <c r="C120" i="11"/>
  <c r="D120" i="11"/>
  <c r="E120" i="11"/>
  <c r="F120" i="11"/>
  <c r="B121" i="11"/>
  <c r="C121" i="11"/>
  <c r="D121" i="11"/>
  <c r="E121" i="11"/>
  <c r="F121" i="11"/>
  <c r="B122" i="11"/>
  <c r="C122" i="11"/>
  <c r="D122" i="11"/>
  <c r="E122" i="11"/>
  <c r="F122" i="11"/>
  <c r="B123" i="11"/>
  <c r="C123" i="11"/>
  <c r="D123" i="11"/>
  <c r="E123" i="11"/>
  <c r="F123" i="11"/>
  <c r="B124" i="11"/>
  <c r="C124" i="11"/>
  <c r="D124" i="11"/>
  <c r="E124" i="11"/>
  <c r="F124" i="11"/>
  <c r="C106" i="11"/>
  <c r="D106" i="11"/>
  <c r="E106" i="11"/>
  <c r="F106" i="11"/>
  <c r="B106" i="11"/>
  <c r="C102" i="11"/>
  <c r="D102" i="11"/>
  <c r="E102" i="11"/>
  <c r="F102" i="11"/>
  <c r="B102" i="11"/>
  <c r="C71" i="11"/>
  <c r="C74" i="11" s="1"/>
  <c r="L56" i="11"/>
  <c r="K56" i="11"/>
  <c r="J56" i="11"/>
  <c r="I56" i="11"/>
  <c r="L55" i="11"/>
  <c r="K55" i="11"/>
  <c r="J55" i="11"/>
  <c r="I55" i="11"/>
  <c r="C40" i="11"/>
  <c r="C39" i="11" s="1"/>
  <c r="F39" i="11"/>
  <c r="E39" i="11"/>
  <c r="D39" i="11"/>
  <c r="F37" i="11"/>
  <c r="E37" i="11"/>
  <c r="D37" i="11"/>
  <c r="C37" i="11"/>
  <c r="G37" i="11" s="1"/>
  <c r="H36" i="11"/>
  <c r="G33" i="11"/>
  <c r="G32" i="11"/>
  <c r="G31" i="11"/>
  <c r="G30" i="11"/>
  <c r="G29" i="11"/>
  <c r="G28" i="11"/>
  <c r="G27" i="11"/>
  <c r="G25" i="11"/>
  <c r="G24" i="11"/>
  <c r="G10" i="11"/>
  <c r="G8" i="11"/>
  <c r="B5" i="11"/>
  <c r="B4" i="11"/>
  <c r="D20" i="11"/>
  <c r="E20" i="11"/>
  <c r="F20" i="11"/>
  <c r="C20" i="11"/>
  <c r="G20" i="11" s="1"/>
  <c r="H117" i="12" l="1"/>
  <c r="I158" i="12"/>
  <c r="I10" i="12" s="1"/>
  <c r="H10" i="12"/>
  <c r="G117" i="12"/>
  <c r="H9" i="12"/>
  <c r="I165" i="12"/>
  <c r="G113" i="12"/>
  <c r="G4" i="12" s="1"/>
  <c r="G8" i="12"/>
  <c r="F6" i="12"/>
  <c r="H113" i="12"/>
  <c r="H4" i="12" s="1"/>
  <c r="I143" i="12"/>
  <c r="I117" i="12" s="1"/>
  <c r="H8" i="12"/>
  <c r="H7" i="12"/>
  <c r="I159" i="12"/>
  <c r="F4" i="12"/>
  <c r="B50" i="11"/>
  <c r="C4" i="11" s="1"/>
  <c r="G4" i="11" s="1"/>
  <c r="I119" i="12" l="1"/>
  <c r="I7" i="12"/>
  <c r="I116" i="12"/>
  <c r="I9" i="12"/>
  <c r="I118" i="12"/>
  <c r="I113" i="12"/>
  <c r="I4" i="12" s="1"/>
  <c r="I8" i="12"/>
  <c r="C5" i="11"/>
  <c r="G5" i="11" s="1"/>
  <c r="D19" i="11" l="1"/>
  <c r="E19" i="11"/>
  <c r="F19" i="11"/>
  <c r="D35" i="11"/>
  <c r="E35" i="11"/>
  <c r="F35" i="11"/>
  <c r="C55" i="11" l="1"/>
  <c r="F12" i="1" l="1"/>
  <c r="C6" i="11" s="1"/>
  <c r="D6" i="11"/>
  <c r="C7" i="11"/>
  <c r="G7" i="11" s="1"/>
  <c r="F29" i="1"/>
  <c r="D9" i="11"/>
  <c r="E9" i="11"/>
  <c r="F9" i="11"/>
  <c r="G286" i="1"/>
  <c r="D26" i="11" s="1"/>
  <c r="H286" i="1"/>
  <c r="E26" i="11" s="1"/>
  <c r="I286" i="1"/>
  <c r="F26" i="11" s="1"/>
  <c r="F286" i="1"/>
  <c r="C26" i="11" s="1"/>
  <c r="G26" i="11" s="1"/>
  <c r="D7" i="11"/>
  <c r="E7" i="11"/>
  <c r="F7" i="11"/>
  <c r="G281" i="1"/>
  <c r="H281" i="1"/>
  <c r="I281" i="1"/>
  <c r="D13" i="11"/>
  <c r="E13" i="11"/>
  <c r="F13" i="11"/>
  <c r="F58" i="1"/>
  <c r="C13" i="11" s="1"/>
  <c r="G13" i="11" s="1"/>
  <c r="C61" i="11" l="1"/>
  <c r="F61" i="11"/>
  <c r="D59" i="11"/>
  <c r="E61" i="11"/>
  <c r="D61" i="11"/>
  <c r="G6" i="11"/>
  <c r="C9" i="11"/>
  <c r="G9" i="11" s="1"/>
  <c r="F59" i="11"/>
  <c r="C59" i="11"/>
  <c r="E59" i="11"/>
  <c r="G276" i="1"/>
  <c r="H276" i="1"/>
  <c r="I276" i="1"/>
  <c r="G275" i="1"/>
  <c r="H275" i="1"/>
  <c r="I275" i="1"/>
  <c r="G259" i="1"/>
  <c r="H259" i="1"/>
  <c r="I259" i="1"/>
  <c r="G241" i="1"/>
  <c r="H241" i="1"/>
  <c r="I241" i="1"/>
  <c r="I233" i="1" l="1"/>
  <c r="F22" i="11" s="1"/>
  <c r="G233" i="1"/>
  <c r="D22" i="11" s="1"/>
  <c r="H233" i="1"/>
  <c r="E22" i="11" s="1"/>
  <c r="H5" i="8"/>
  <c r="H4" i="8"/>
  <c r="H3" i="8"/>
  <c r="H2" i="8"/>
  <c r="C9" i="9"/>
  <c r="D8" i="9"/>
  <c r="I7" i="9"/>
  <c r="I9" i="9" s="1"/>
  <c r="G7" i="9"/>
  <c r="G9" i="9" s="1"/>
  <c r="F7" i="9"/>
  <c r="F9" i="9" s="1"/>
  <c r="D7" i="9"/>
  <c r="D9" i="9" s="1"/>
  <c r="C7" i="9"/>
  <c r="D6" i="9"/>
  <c r="J3" i="9"/>
  <c r="I3" i="9"/>
  <c r="G3" i="9"/>
  <c r="F3" i="9"/>
  <c r="C3" i="9"/>
  <c r="D3" i="9" s="1"/>
  <c r="B3" i="9"/>
  <c r="E60" i="11" l="1"/>
  <c r="F60" i="11"/>
  <c r="D60" i="11"/>
  <c r="G230" i="1" l="1"/>
  <c r="H230" i="1"/>
  <c r="I230" i="1"/>
  <c r="F5" i="8"/>
  <c r="F4" i="8"/>
  <c r="F3" i="8"/>
  <c r="E2" i="8"/>
  <c r="D2" i="8"/>
  <c r="F2" i="8" s="1"/>
  <c r="I315" i="1"/>
  <c r="H315" i="1"/>
  <c r="G315" i="1"/>
  <c r="F45" i="1"/>
  <c r="C12" i="11" s="1"/>
  <c r="G12" i="11" s="1"/>
  <c r="G45" i="1"/>
  <c r="D12" i="11" s="1"/>
  <c r="H45" i="1"/>
  <c r="E12" i="11" s="1"/>
  <c r="I45" i="1"/>
  <c r="F12" i="11" s="1"/>
  <c r="E17" i="11" l="1"/>
  <c r="G314" i="1"/>
  <c r="D17" i="11"/>
  <c r="F17" i="11"/>
  <c r="F21" i="11"/>
  <c r="E21" i="11"/>
  <c r="D21" i="11"/>
  <c r="H314" i="1"/>
  <c r="I314" i="1"/>
  <c r="E16" i="11" l="1"/>
  <c r="F34" i="11"/>
  <c r="D16" i="11"/>
  <c r="E34" i="11"/>
  <c r="D34" i="11"/>
  <c r="F16" i="11"/>
  <c r="C16" i="11" l="1"/>
  <c r="G16" i="11" s="1"/>
  <c r="E30" i="7"/>
  <c r="D30" i="7"/>
  <c r="C30" i="7"/>
  <c r="E28" i="7"/>
  <c r="D28" i="7"/>
  <c r="C28" i="7"/>
  <c r="E26" i="7"/>
  <c r="D26" i="7"/>
  <c r="C26" i="7"/>
  <c r="E23" i="7"/>
  <c r="E24" i="7" s="1"/>
  <c r="D23" i="7"/>
  <c r="D24" i="7" s="1"/>
  <c r="C23" i="7"/>
  <c r="C24" i="7" s="1"/>
  <c r="E22" i="7"/>
  <c r="D22" i="7"/>
  <c r="C22" i="7"/>
  <c r="C20" i="7"/>
  <c r="E19" i="7"/>
  <c r="E20" i="7" s="1"/>
  <c r="D19" i="7"/>
  <c r="D20" i="7" s="1"/>
  <c r="C19" i="7"/>
  <c r="E18" i="7"/>
  <c r="D18" i="7"/>
  <c r="C18" i="7"/>
  <c r="E16" i="7"/>
  <c r="D16" i="7"/>
  <c r="C16" i="7"/>
  <c r="E14" i="7"/>
  <c r="E37" i="7" s="1"/>
  <c r="D14" i="7"/>
  <c r="D37" i="7" s="1"/>
  <c r="C14" i="7"/>
  <c r="C35" i="7" s="1"/>
  <c r="C36" i="7" s="1"/>
  <c r="C17" i="11"/>
  <c r="G17" i="11" s="1"/>
  <c r="F18" i="11" l="1"/>
  <c r="C18" i="11"/>
  <c r="G18" i="11" s="1"/>
  <c r="D35" i="7"/>
  <c r="D36" i="7" s="1"/>
  <c r="E35" i="7"/>
  <c r="E36" i="7" s="1"/>
  <c r="C37" i="7"/>
  <c r="E6" i="11"/>
  <c r="F6" i="11"/>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T5" i="6"/>
  <c r="B5" i="6"/>
  <c r="B4" i="6"/>
  <c r="B3" i="6"/>
  <c r="B2" i="6"/>
  <c r="B2" i="4"/>
  <c r="B10" i="4"/>
  <c r="B37" i="4"/>
  <c r="F230" i="1"/>
  <c r="C21" i="11" s="1"/>
  <c r="G21" i="11" s="1"/>
  <c r="G128" i="1"/>
  <c r="H128" i="1" s="1"/>
  <c r="I128" i="1" s="1"/>
  <c r="G127" i="1"/>
  <c r="H127" i="1" s="1"/>
  <c r="I127" i="1" s="1"/>
  <c r="F126" i="1"/>
  <c r="H124" i="1"/>
  <c r="I124" i="1" s="1"/>
  <c r="F124" i="1"/>
  <c r="F123" i="1"/>
  <c r="H122" i="1"/>
  <c r="I122" i="1" s="1"/>
  <c r="G119" i="1"/>
  <c r="I117" i="1"/>
  <c r="H117" i="1"/>
  <c r="G117" i="1"/>
  <c r="F117" i="1"/>
  <c r="I116" i="1"/>
  <c r="H116" i="1"/>
  <c r="G116" i="1"/>
  <c r="F116" i="1"/>
  <c r="I115" i="1"/>
  <c r="H115" i="1"/>
  <c r="G115" i="1"/>
  <c r="F115" i="1"/>
  <c r="I114" i="1"/>
  <c r="H114" i="1"/>
  <c r="G114" i="1"/>
  <c r="F114" i="1"/>
  <c r="G113" i="1"/>
  <c r="G112" i="1"/>
  <c r="G109" i="1"/>
  <c r="H109" i="1" s="1"/>
  <c r="I109" i="1" s="1"/>
  <c r="G108" i="1"/>
  <c r="H108" i="1" s="1"/>
  <c r="I108" i="1" s="1"/>
  <c r="G107" i="1"/>
  <c r="G106" i="1"/>
  <c r="H106" i="1" s="1"/>
  <c r="F98" i="1"/>
  <c r="F97" i="1"/>
  <c r="G83" i="1"/>
  <c r="F83" i="1"/>
  <c r="F77" i="1"/>
  <c r="F129" i="1"/>
  <c r="C15" i="11" s="1"/>
  <c r="G15" i="11" s="1"/>
  <c r="G35" i="1"/>
  <c r="D11" i="11" s="1"/>
  <c r="H35" i="1"/>
  <c r="I35" i="1"/>
  <c r="F35" i="1"/>
  <c r="C11" i="11" s="1"/>
  <c r="F314" i="1"/>
  <c r="F75" i="1" l="1"/>
  <c r="D58" i="11"/>
  <c r="D55" i="11"/>
  <c r="F15" i="11"/>
  <c r="E15" i="11"/>
  <c r="E18" i="11"/>
  <c r="E11" i="11"/>
  <c r="C34" i="11"/>
  <c r="G34" i="11" s="1"/>
  <c r="D15" i="11"/>
  <c r="D18" i="11"/>
  <c r="G11" i="11"/>
  <c r="F11" i="11"/>
  <c r="G97" i="1"/>
  <c r="H112" i="1"/>
  <c r="C14" i="11"/>
  <c r="G14" i="11" s="1"/>
  <c r="I106" i="1"/>
  <c r="H119" i="1"/>
  <c r="H107" i="1"/>
  <c r="I107" i="1" s="1"/>
  <c r="H113" i="1"/>
  <c r="G123" i="1"/>
  <c r="G75" i="1" l="1"/>
  <c r="E58" i="11"/>
  <c r="E55" i="11"/>
  <c r="D56" i="11"/>
  <c r="H97" i="1"/>
  <c r="I112" i="1"/>
  <c r="I113" i="1"/>
  <c r="I119" i="1"/>
  <c r="H123" i="1"/>
  <c r="I282" i="1"/>
  <c r="I277" i="1" s="1"/>
  <c r="H282" i="1"/>
  <c r="H277" i="1" s="1"/>
  <c r="G282" i="1"/>
  <c r="G277" i="1" s="1"/>
  <c r="F282" i="1"/>
  <c r="F277" i="1" s="1"/>
  <c r="F275" i="1"/>
  <c r="F259" i="1"/>
  <c r="F241" i="1"/>
  <c r="F276" i="1"/>
  <c r="H75" i="1" l="1"/>
  <c r="C60" i="11"/>
  <c r="D57" i="11"/>
  <c r="D62" i="11" s="1"/>
  <c r="D64" i="11" s="1"/>
  <c r="E57" i="11"/>
  <c r="C57" i="11"/>
  <c r="C58" i="11"/>
  <c r="F58" i="11"/>
  <c r="D14" i="11"/>
  <c r="F57" i="11"/>
  <c r="I97" i="1"/>
  <c r="F233" i="1"/>
  <c r="I123" i="1"/>
  <c r="I75" i="1" l="1"/>
  <c r="F55" i="11"/>
  <c r="D103" i="11"/>
  <c r="E23" i="11"/>
  <c r="D23" i="11"/>
  <c r="D36" i="11" s="1"/>
  <c r="E14" i="11"/>
  <c r="C23" i="11"/>
  <c r="G23" i="11" s="1"/>
  <c r="F23" i="11"/>
  <c r="C56" i="11"/>
  <c r="C62" i="11" s="1"/>
  <c r="C22" i="11"/>
  <c r="G22" i="11" s="1"/>
  <c r="E56" i="11"/>
  <c r="E62" i="11" s="1"/>
  <c r="E36" i="11" l="1"/>
  <c r="E50" i="11" s="1"/>
  <c r="D50" i="11"/>
  <c r="D63" i="11"/>
  <c r="C103" i="11"/>
  <c r="C64" i="11"/>
  <c r="F14" i="11"/>
  <c r="F36" i="11" s="1"/>
  <c r="F50" i="11" s="1"/>
  <c r="F56" i="11"/>
  <c r="F62" i="11" s="1"/>
  <c r="E64" i="11"/>
  <c r="E103" i="11"/>
  <c r="E63" i="11" l="1"/>
  <c r="F64" i="11"/>
  <c r="F63" i="11"/>
  <c r="F103" i="11"/>
  <c r="C19" i="11"/>
  <c r="G19" i="11" l="1"/>
  <c r="C35" i="11"/>
  <c r="G35" i="11" s="1"/>
  <c r="F7" i="1"/>
  <c r="I7" i="1"/>
  <c r="H7" i="1"/>
  <c r="G7" i="1"/>
  <c r="C36" i="11" l="1"/>
  <c r="C50" i="11" s="1"/>
  <c r="C63" i="11" l="1"/>
  <c r="D5" i="13"/>
  <c r="C5" i="13"/>
  <c r="B5" i="13" l="1"/>
  <c r="B9" i="13" s="1"/>
  <c r="C7" i="13"/>
  <c r="C9" i="13" s="1"/>
  <c r="D7" i="13"/>
  <c r="D9" i="13" s="1"/>
  <c r="E5" i="13"/>
  <c r="E7" i="13" l="1"/>
  <c r="E9" i="13" s="1"/>
</calcChain>
</file>

<file path=xl/sharedStrings.xml><?xml version="1.0" encoding="utf-8"?>
<sst xmlns="http://schemas.openxmlformats.org/spreadsheetml/2006/main" count="4428" uniqueCount="1113">
  <si>
    <t xml:space="preserve">Pasākumi, lai nodrošinātu samazinājumu </t>
  </si>
  <si>
    <t>Pasākumi</t>
  </si>
  <si>
    <t>Ministriju priekšlikumi un papildu pasākumi</t>
  </si>
  <si>
    <t>Izdevumu samazinājums pašvaldībām*</t>
  </si>
  <si>
    <t>Ierobežojošas normas kapitālsabiedrību zaudējumiem, augstskolu deficīta veidošanai un simetrisko izdevumu pārskatīšana</t>
  </si>
  <si>
    <t>Ieņēmumu pasākumi</t>
  </si>
  <si>
    <t>KOPĀ:</t>
  </si>
  <si>
    <t>*ja tiek mazināti izdevumi atlīdzībai būs samazinājums IIN</t>
  </si>
  <si>
    <r>
      <t xml:space="preserve">2026. gada pamatfunkciju izsludinātā plāna izdevumu samazinājums sadalījumā pa ministrijām un citām centrālajām valsts iestādēm, </t>
    </r>
    <r>
      <rPr>
        <b/>
        <i/>
        <sz val="12"/>
        <color theme="1"/>
        <rFont val="Aptos Narrow"/>
        <family val="2"/>
        <scheme val="minor"/>
      </rPr>
      <t>euro</t>
    </r>
  </si>
  <si>
    <t>Resora nosaukums</t>
  </si>
  <si>
    <t>Samazinājuma apmērs 8% 
(FM aprēķini)</t>
  </si>
  <si>
    <t>Resoru iesniegtais samazinājuma piedāvājums</t>
  </si>
  <si>
    <t>Resoriem vēl jāsamazina 2026. gadam</t>
  </si>
  <si>
    <t>Amata vietu samazinājums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</si>
  <si>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</si>
  <si>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</si>
  <si>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</si>
  <si>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</si>
  <si>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</si>
  <si>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</si>
  <si>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</si>
  <si>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</si>
  <si>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</si>
  <si>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</si>
  <si>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</si>
  <si>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</si>
  <si>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</si>
  <si>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</si>
  <si>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</si>
  <si>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</si>
  <si>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</si>
  <si>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Klimata un enerģētikas ministrija</t>
  </si>
  <si>
    <t>Viedās administrācijas un reģionālās attīstības ministrija</t>
  </si>
  <si>
    <t>Kultūras ministrija</t>
  </si>
  <si>
    <t>Valsts kontrole</t>
  </si>
  <si>
    <t>Augstākā tiesa</t>
  </si>
  <si>
    <t>Veselības ministrija</t>
  </si>
  <si>
    <t>Satversmes tiesa</t>
  </si>
  <si>
    <t>Prokuratūra</t>
  </si>
  <si>
    <t>Centrālā vēlēšanu komisija</t>
  </si>
  <si>
    <t>Sabiedriskie elektroniskie plašsaziņas līdzekļi</t>
  </si>
  <si>
    <t>Radio un televīzijas regulators</t>
  </si>
  <si>
    <t>Mērķdotācijas pašvaldībām</t>
  </si>
  <si>
    <t>Dotācija pašvaldībām</t>
  </si>
  <si>
    <t>Gadskārtējā valsts budžeta izpildes procesā pārdalāmais finansējums</t>
  </si>
  <si>
    <t>Labklājības ministrija - SB</t>
  </si>
  <si>
    <t>Ministriju iesniegtie:</t>
  </si>
  <si>
    <t>Neatkarīgās iestādes un citi samazinājuma pasākumi:</t>
  </si>
  <si>
    <t>vēlēto amatpersonu atalgojuma sistēmas pārskatīšana (algu iesaldēšana)</t>
  </si>
  <si>
    <t>Papildus pasākumi</t>
  </si>
  <si>
    <t>VAS "Latvijas autoceļu uzturētājs" akciju kotēšana biržā finanšu darījums, kas mazina parādu, bet nerada papildu ieņēmumus (SM)</t>
  </si>
  <si>
    <t>Politisko organizāciju (partiju) finansēšanas likuma grozījumi</t>
  </si>
  <si>
    <t>Samaksa par virsstundu darbu samazināšana par 50%</t>
  </si>
  <si>
    <t>Latvijas vides aizsardzības fonda ietvaros (gan vides aizsardzības, gan dabas aizsardzības projekti)</t>
  </si>
  <si>
    <t>50% samazinājums</t>
  </si>
  <si>
    <t>Meža attīstības fonds</t>
  </si>
  <si>
    <t>Medību saimniecības attīstības fonds</t>
  </si>
  <si>
    <t>Zivju fonds</t>
  </si>
  <si>
    <t>Valsts kultūrkapitāla fonda saglabāšana 2025. gada līmenī, atsaiste no akcīzes nodokļa*</t>
  </si>
  <si>
    <t>Reģionālās attīstības atbalsta pasākums - infrastruktūras pielāgošana un uzturēšana</t>
  </si>
  <si>
    <t>koriģēta kompensācija pašvaldībām atbilstoši aktuālajām IIN prognozēm (nodrošināts kopējais finansējums nemainīgā līmenī pie nemainīgas politikas)</t>
  </si>
  <si>
    <t>nepieciešama vienošanās</t>
  </si>
  <si>
    <t>Kopā:</t>
  </si>
  <si>
    <t>EKK nosaukums</t>
  </si>
  <si>
    <r>
      <t xml:space="preserve">Resoru iesniegtais samazinājuma piedāvājums, </t>
    </r>
    <r>
      <rPr>
        <b/>
        <i/>
        <sz val="11"/>
        <color theme="1"/>
        <rFont val="Aptos Narrow"/>
        <family val="2"/>
        <scheme val="minor"/>
      </rPr>
      <t>euro</t>
    </r>
  </si>
  <si>
    <t>1000 Atlīdzība</t>
  </si>
  <si>
    <t>2000 Preces un pakalpojumi</t>
  </si>
  <si>
    <t>3000 Subsīdijas un dotācijas</t>
  </si>
  <si>
    <t>5000 Pamatkapitāla veidošana</t>
  </si>
  <si>
    <t>6000 Sociāla rakstura maksājumi un kompensācijas</t>
  </si>
  <si>
    <t>7000 Transferti, uzturēšanas izdevumu transferti, pašu resursu maksājumi, starptautiskā sadarbība</t>
  </si>
  <si>
    <t>9000 Kapitālo izdevumu transferti</t>
  </si>
  <si>
    <t>Piemaksas iesaldēšana "par nozīmīgu ieguldījumu attiecīgās institūcijas stratēģisko mērķu sasniegšanā" uz 2026. - 2028.g. ministriju darbiniekiem</t>
  </si>
  <si>
    <t xml:space="preserve">Naudas balvu iesaldēšana ministriju darbiniekiem, atsakoties no tādas uz laika periodu no 2026. - 2028.gadam </t>
  </si>
  <si>
    <t xml:space="preserve">Pārskatīt Prēmijas par ikgadējo novērtējumu apmēru, samazinot to par 10% </t>
  </si>
  <si>
    <t>visu piemaksu apmēra ierobežojums no šobrīd max iespējamiem 30% uz 20%</t>
  </si>
  <si>
    <t>Valsts kultūrkapitāla fonda pieaugums*</t>
  </si>
  <si>
    <t>*Saglabājot VKKF finansējumu 2025.gada līmenī</t>
  </si>
  <si>
    <t>Ministriju iesniegtie priekšlikumi finansējuma samazināšanai</t>
  </si>
  <si>
    <t>Nr.p.k.</t>
  </si>
  <si>
    <t>Resors</t>
  </si>
  <si>
    <t>Pasākums</t>
  </si>
  <si>
    <t>Budžeta programmas/apakšprogrammas kods un nosaukums</t>
  </si>
  <si>
    <t>EKK 
(kods un nosaukums)</t>
  </si>
  <si>
    <r>
      <t xml:space="preserve">Samazināmais finansējums, </t>
    </r>
    <r>
      <rPr>
        <b/>
        <i/>
        <sz val="10"/>
        <color theme="1"/>
        <rFont val="Times New Roman"/>
        <family val="1"/>
        <charset val="186"/>
      </rPr>
      <t>euro</t>
    </r>
  </si>
  <si>
    <t>Ja tiek samazināts prioritāro pasākumu ietvaros piešķirtais finansējums, nepieciešams norādīt prioritārā pasākuma nosaukumu un ietvaru</t>
  </si>
  <si>
    <t>Komentārs</t>
  </si>
  <si>
    <t>Pasākuma kopējais plānotais finansējums 2026. gadam</t>
  </si>
  <si>
    <t>Samazinājuma īpatsvars (%)</t>
  </si>
  <si>
    <t>Piedāvājums samazinājumam kopā:</t>
  </si>
  <si>
    <t>Nepieciešams samazināt:</t>
  </si>
  <si>
    <t>Vēl jāsamazina:</t>
  </si>
  <si>
    <t>03. Ministru kabinets piedāvā samazinājumam kopā:</t>
  </si>
  <si>
    <t>Ministru kabinetam nepieciešams samazināt:</t>
  </si>
  <si>
    <t>Ministru kabinetam vēl jāsamazina:</t>
  </si>
  <si>
    <t>Komunikācijas pasākumi</t>
  </si>
  <si>
    <t>01.00.00 Ministru kabineta darbības nodrošināšana, valsts pārvaldes politika</t>
  </si>
  <si>
    <t>Atteikšanās no:  monitoringa licencēm un mājas lapas "Trauksmescēlājs" uzturēšanas, pārskatīta komunikācijas kampaņas "Melns uz Balta" un stratēģiskās komunikācijas konferences rīkošana 2026.gadā</t>
  </si>
  <si>
    <t>Pētījumu veikšana</t>
  </si>
  <si>
    <t>Valsts attīstības un plānošanas sistēmas pilnveide</t>
  </si>
  <si>
    <t>Pārskatīta pētījuma veikšana - izvērtējums par normatīvā regulējuma izmaiņu ietekmi uz sabiedrības pārstāvju līdzdalības iespējām un vērtējumu par iespējām ietekmēt lēmumus nacionālā un vietējo pašvaldību līmenī.</t>
  </si>
  <si>
    <t>Tiesību aktu portāla pilnveidošana</t>
  </si>
  <si>
    <t>Pārskatīti plānotie TAP pilnveidošanas darbi</t>
  </si>
  <si>
    <t xml:space="preserve">IKT sistēmu uzturēšanas un licenču izmaksas </t>
  </si>
  <si>
    <t>Vienotā pakalpojumu centra izveide</t>
  </si>
  <si>
    <t xml:space="preserve">Atlīdzība </t>
  </si>
  <si>
    <t>Mācību moduļu programmas nodrošinājums</t>
  </si>
  <si>
    <t>Pārskatīts augstākā līmeņa vadītāju mācību moduļu programmas nodrošinājums</t>
  </si>
  <si>
    <t>Ministru kabineta sadarbības memoranda īstenošanas padomes darbības nodrošināšanas izdevumi</t>
  </si>
  <si>
    <t>Pilsoniskā dialoga platformas izveide, stiprinot Nevalstisko organizāciju un Ministru kabineta sadarbības memoranda īstenošanas padomes darbību</t>
  </si>
  <si>
    <t>Pārskatīts finansējums Ministru kabineta sadarbības memoranda īstenošanas padomes darbības nodrošināšanai</t>
  </si>
  <si>
    <t>Intervenču grupu vadīšana, metodiskā vadība</t>
  </si>
  <si>
    <t>Samazinātas 4 vakantas amata vietas</t>
  </si>
  <si>
    <t>19.00.00 Valsts administrācijas skola</t>
  </si>
  <si>
    <t>Pārskatītas sistēmas ieviešanas izmaksas 33 000 euro, licenču izmaksas 20 000 euro, lietotāju apmācības 6 097 euro.</t>
  </si>
  <si>
    <t>04. Korupcijas novēršanas un apkarošanas birojs piedāvā samazinājumam (t.sk. Politisko organizāciju(partiju) finansēšana slikuma grozījumi) kopā:</t>
  </si>
  <si>
    <t>Korupcijas novēršanas un apkarošanas birojam nepieciešams samazināt:</t>
  </si>
  <si>
    <t>Korupcijas novēršanas un apkarošanas birojam vēl jāsamazina:</t>
  </si>
  <si>
    <t>Piedāvājums veikt Politisko organizāciju (partiju) finansēšanas likuma grozījumus un papildināt Pārejas 
noteikumus ar punktu, kas noteiks, ka 2026., 2027. un 2028. gadā valsts budžeta finansējumu 
politiskajai organizācijai (partijai) aprēķina un piešķir, ņemot vērā 2024. gada minimālo 
mēnešalgu</t>
  </si>
  <si>
    <t>01.00.00 Korupcijas novēršanas un apkarošanas birojs</t>
  </si>
  <si>
    <t>04 0100 P001 Finansējuma palielinājums partiju finansēšanai saistībā ar minimālās mēneša darba algas pieaugumu (MK 19.09.2024. prot. Nr.38 2.§ 2.p.)</t>
  </si>
  <si>
    <t>Korupcijas novēršanas un apkarošanas biroja darbibas nodrošināšana</t>
  </si>
  <si>
    <t>Tiks likvidētas 7 štata vietas un samazināti izdevumi prēmijām</t>
  </si>
  <si>
    <t xml:space="preserve">2000 Preces un pakalpojumi </t>
  </si>
  <si>
    <t>8. Sabiedrības integrācijas fonds piedāvā samazinājumam kopā:</t>
  </si>
  <si>
    <t>Sabiedrības integrācijas fondam nepieciešams samazināt:</t>
  </si>
  <si>
    <t>Sabiedrības integrācijas fondam vēl jāsamazina:</t>
  </si>
  <si>
    <t>SIF pamatdarbības nodrošināšana</t>
  </si>
  <si>
    <t>01.00.00 Sabiedrības integrācijas fonda vadība</t>
  </si>
  <si>
    <t>Izdevumu pārskatīšanas rezultātā, Fonds ir pārskatījis arhīva administrēšanas procesu, līdzšinējo nomu aizstājot ar kompleksu arhīva pakalpojumu.</t>
  </si>
  <si>
    <t>Komerciālo elektronisko plašsaziņas līdzekļu tehnoloģisko bāzes un infrastruktūras stiprināšana</t>
  </si>
  <si>
    <t>04.00.00 Mediju projektu īstenošana</t>
  </si>
  <si>
    <t>Izdevumi samazināti Komerciālo elektronisko plašsaziņas līdzekļu kapacitātes stiprināšanai projektu realizācijai.</t>
  </si>
  <si>
    <t> </t>
  </si>
  <si>
    <t xml:space="preserve">Samazināti plānotie izdevumi projektā iesaistīto darbinieku darba vietas iekārtošanai. </t>
  </si>
  <si>
    <t>Ģimeņu atbalsta programmas</t>
  </si>
  <si>
    <t>05.00.00 NVO atbalsta un sabiedrības saliedētības programma</t>
  </si>
  <si>
    <t xml:space="preserve">Samazināti plānotie izdevumi projektā iesaistīto darbinieku darba vietas iekārtošanai un uzturēšanai, Goda ģimenes apliecības izgatavošanai un nosūtīšanai, kā arī ekspertu piesaistei. </t>
  </si>
  <si>
    <t>Nacionāli saliedētas un pilsoniski aktīvas sabiedrības attīstība</t>
  </si>
  <si>
    <t>Samazināti plānotie izdevumi Kapacitātes celšanas programmai darba devēju ekspertīzei dažādības vadības jomā</t>
  </si>
  <si>
    <t>Mazākumu tautību NVO projekti</t>
  </si>
  <si>
    <t xml:space="preserve">Pārdale no budžeta programmas 04.00.00 Mediju projektu īstenošana plānotajiem izdevumiem NVO projektu realizācijai Mazākumtautību un sabiedrības saliedētības programmā. </t>
  </si>
  <si>
    <t>10. Aizsardzības ministrija piedāvā samazinājumam kopā:</t>
  </si>
  <si>
    <t>Aizsardzības ministrijai nepieciešams samazināt:</t>
  </si>
  <si>
    <t>Aizsardzības ministrijai vēl jāsamazina:</t>
  </si>
  <si>
    <t>Aizsardzības nozares organizēto konferenču apjoma pārskatīšana</t>
  </si>
  <si>
    <t>30.00.00 Valsts aizsardzības politikas realizācija</t>
  </si>
  <si>
    <t xml:space="preserve">Sadarbība ar starptautiskām nevalstiskām organizācijām apjoma pārskatīšana </t>
  </si>
  <si>
    <t xml:space="preserve">Sabiedrības informēšanas projektu apjoma optimizācija (filmu, grāmatu projekti u.c.) </t>
  </si>
  <si>
    <t>Preses centra darbības nodrošinājuma samazinājums</t>
  </si>
  <si>
    <t>Pieņemts lēmums neveidot atsevišķu mediju telpu</t>
  </si>
  <si>
    <t>Tiešraides pakalpojumu samazinājums</t>
  </si>
  <si>
    <t>Komandējumu braucienu pārskatīšana, apmeklēto pasākumu nepieciešamība, pēdējā brīža pirkumu pārskatīšana</t>
  </si>
  <si>
    <t>CERT.LV papildus finansējuma SOC (drošības operāciju centrs) tālākajai attīstībai sākot no 2026.gada ierobežošana</t>
  </si>
  <si>
    <t>ZS atbalstītāju pateicības pasākuma uzņēmējiem un pašvaldībām nodrošināšana mazākā apmērā</t>
  </si>
  <si>
    <t>Mainīts pasākuma formāts, samazinot pasākuma izdevumus</t>
  </si>
  <si>
    <t>Ādažu poligona radīto trokšņu mērījumu samazināts skaits</t>
  </si>
  <si>
    <t>33.00.00 Aizsardzības īpašumu pārvaldīšana</t>
  </si>
  <si>
    <t>Samazināts mērījumu skaits</t>
  </si>
  <si>
    <t>11. Ārlietu ministrija piedāvā samazinājumam kopā:</t>
  </si>
  <si>
    <t>Ārlietu ministrijai nepieciešams samazināt:</t>
  </si>
  <si>
    <t>Ārlietu ministrijai vēl jāsamazina:</t>
  </si>
  <si>
    <t>Iemaksas starptautiskajās organizācijās</t>
  </si>
  <si>
    <t>02.00.00. Iemaksas starptautiskajās organizācijās</t>
  </si>
  <si>
    <t>7700 Starptautiskā sadarbība</t>
  </si>
  <si>
    <t>ņemot vērā prognozes par iemaksu apmēru starptautiskajās organizācijās samazināšanos</t>
  </si>
  <si>
    <t>Projekti sadarbībai ar diasporu</t>
  </si>
  <si>
    <t>97.00.00. Nozaru vadība un politikas plānošana</t>
  </si>
  <si>
    <t>ĀM nepiedāvā citu priekšlikumu, lai netiktu samazināts finansējumu projektiem sadarbībai ar diasporu.</t>
  </si>
  <si>
    <t>Attīstības sadarbības projekti un starptautiskā palīdzība</t>
  </si>
  <si>
    <t>7470 Pārējie valsts budžeta uzturēšanas izdevumu transferti valsts budžeta daļēji finansētām atvasinātām publiskām personām un budžeta nefinansētām iestādēm</t>
  </si>
  <si>
    <t>Latvijas dalība ANO Drošības padomē 2026-2028.g.</t>
  </si>
  <si>
    <t>Latvijas kandidatūras ANO Drošības padomes vēlēšanās 2025.g. lobija kampaņas nodrošināšana Latvijas dalībai ANO Drošības padomē 2026-2028.g.</t>
  </si>
  <si>
    <t>Ministrijas, diplomātisko un konsulāro pārstāvniecību darbības nodrošināšana</t>
  </si>
  <si>
    <t>t.sk. 7 400 euro Pasākumi Ukrainas atbalstam un globālās drošības veicināšanai (atbalsts Ukrainas rekonstrukcijai un iemaksas Ukrainas atbalstam)
t.sk. 50 000 euro Valsts tiešās pārvaldes iestādēs nodarbināto atalgojuma palielināšana</t>
  </si>
  <si>
    <t>Papildus komentāri no ĀM puses par priekšlikumu nav sniegti.</t>
  </si>
  <si>
    <t>t.sk. 13 600 euro Pasākumi Ukrainas atbalstam un globālās drošības veicināšanai (atbalsts Ukrainas rekonstrukcijai un iemaksas Ukrainas atbalstam)</t>
  </si>
  <si>
    <t>Materiālās palīdzības nodrošināšana</t>
  </si>
  <si>
    <t>09.00.00. Materiālās palīdzības nodrošināšana</t>
  </si>
  <si>
    <t>12. Ekonomikas ministrija piedāvā samazinājumam kopā:</t>
  </si>
  <si>
    <t>Ekonomikas ministrijai nepieciešams samazināt:</t>
  </si>
  <si>
    <t>Ekonomikas ministrijai vēl jāsamazina:</t>
  </si>
  <si>
    <t>Saistībā ar Būvniecības informācijas modelēšanu (BIM) obligātu piemērošanu 3.grupas publisko ēku iepirkumos no  2025.gada, samazināt dotāciju valsts kapitālsabiedrībai SIA „Latvijas standarts” (LVS) speciālistu BIM  veiktajām apmācībām</t>
  </si>
  <si>
    <t>20.00.00 Būvniecība</t>
  </si>
  <si>
    <t>Funkcijas izvērtējot:                                                                                                                                         1. Pārtraukt pārskata “1-F (ceturkšņa) Pārskats par finansiālo stāvokli​” vākšanu. 
2. Nodrošināt Valsts ieņēmumu dienesta PVN ikmēneša datu ātrāku saņemšanu, kas ļauj atcelt pārskatus “1-apgrozījums”, “2-apgrozījums”, “3-apgrozījums”, “4-apgrozījums”.
3.Atcelt pārskatu “4-reģistrs” .
4.2026. gadā negatavot tautas skaitīšanas mājokļu rādītājus (pēc regulas, tie jāgatavo tikai 2031. gadā)​ un pārtraukt pašvaldību datu par pašvaldību dzīvojamo fondu (BRIDZIS) datu vākšanu, apstrādi​.
5.Atteikties apsekojumos no jautājumiem, kas atbilstoši ES regulējumam ir izvēles (optional).
6.Pārskatīt un atteikties no daļas līdz šim publicēto datu, preses ziņojumu, publikāciju (piemēram, ceturkšņa finanšu kontu aprēķins, bruto kapitālieguldījumi pa darbības veidiem, rūpniecības produkcijas apgrozījums un izlaide vērtības izteiksmē (eiro)​, apgrozījuma nozaru procentuālais sadalījums vietējā tirgū un eksports (ceturkšņa)​, dati par pakalpojumu nozarēm P;Q;R; S94; S95, vairāki būvniecības, rūpniecības, tirdzniecības un pakalpojumu nozaru konjunktūras rādītāji pa uzņēmumu lieluma grupām u.c.
7.Pārtraukt Ekonomikas ministrijas sagatavoto publikāciju pārbaudi un speciālo datu grupējumu aprēķinu īstermiņa un konjunktūras statistikā šīm publikācijām.</t>
  </si>
  <si>
    <t>24.00.00 Statistiskās informācijas nodrošināšana</t>
  </si>
  <si>
    <t>Lai būtiski samazinātu vai pat atceltu pārskatu “2-darbs”, ir nepieciešami grozījumi Ministru kabineta noteikumos, paplašinot esošās Valsts ieņēmumu dienesta formas ar trūkstošo informāciju, kas nepieciešama Pārvaldei statistikas datu aprēķiniem. Šī priekšlikuma īstenošanai nepieciešamas IT izstrādes Valsts ieņēmumu dienestā, lai apkopotu papildus rādītājus.
Plānota EM informēšana, ka netiks veikta turpmāka EM publikāciju datu pārbaude.
Pārskatīt un atteikties no daļas līdz šim publicēto datu, preses ziņojumu, publikāciju (piemēram, ceturkšņa finanšu kontu aprēķins, bruto kapitālieguldījumi pa darbības veidiem, rūpniecības produkcijas apgrozījums un izlaide vērtības izteiksmē (eiro), apgrozījuma nozaru procentuālais sadalījums vietējā tirgū un eksports (ceturkšņa), dati par pakalpojumu nozarēm P;Q;R; S94; S95, vairāki būvniecības, rūpniecības, tirdzniecības un pakalpojumu nozaru konjunktūras rādītāji pa uzņēmumu lieluma grupām u.c.
Tādējādi netiks nodrošināti dati par vairākām sociāli ekonomiskām jomām (mājokļi, globālās vērtību ķēdes u.c.).</t>
  </si>
  <si>
    <t>1.Izvērtējot funkcijas un izanalizējot noslodzes samazināt 1 amata vietu;                                                                                                     2.Digitālā pakalpojumu akta ieviešanas procesa ietvaros samazināt  informēšanas pasākumu, kampaņu, atsevišķo tirgus analīzes pasākumu skaitu;                                                                        3.Efektivizācijas procesu ietvaros samazināt pasākumus preču testēšanai tirgus uzraudzībā.</t>
  </si>
  <si>
    <t>26.01.00 Iekšējais tirgus un patērētāju tiesību aizsardzība</t>
  </si>
  <si>
    <t>PP “Finansējums Patērētāju tiesību aizsardzības centram un Centrālās statistikas pārvaldei regulu prasību izpildei” (2024.,  2025. un  2026. gada maksimāli pieļaujamais valsts pamatbudžeta izdevumu apjoms)</t>
  </si>
  <si>
    <t>Samazināt dotāciju valsts kapitālsabiedrībai SIA “Latvijas nacionālais metroloģijas centrs” (LNMC), valsts kapitālsabiedrībai SIA „Latvijas standarts” (LVS) un Valsts aģentūra "Latvijas Nacionālais akreditācijas birojs" (LATAK) valsts pārvaldes deleģēto uzdevumu izpildei</t>
  </si>
  <si>
    <t>26.04.00 Atbilstības novērtēšana un kvalitātes nodrošināšana</t>
  </si>
  <si>
    <t xml:space="preserve">Pārskatīt investīcijas misijas, klātienes konsultantu pakalpojumu skaitu, organizējot  kampaņas  un  ārvalstu vizītes uz  un no Latvijas,  kā arī tikšanās ar potenciālajiem investoriem.            </t>
  </si>
  <si>
    <r>
      <t>28.00.00</t>
    </r>
    <r>
      <rPr>
        <b/>
        <sz val="10"/>
        <color theme="1"/>
        <rFont val="Times New Roman"/>
        <family val="1"/>
        <charset val="186"/>
      </rPr>
      <t xml:space="preserve"> </t>
    </r>
    <r>
      <rPr>
        <sz val="10"/>
        <color theme="1"/>
        <rFont val="Times New Roman"/>
        <family val="1"/>
        <charset val="186"/>
      </rPr>
      <t>Ārējās ekonomiskās politikas ieviešana</t>
    </r>
  </si>
  <si>
    <t xml:space="preserve">1)2025.gadā no LIAA puses tiek līdzfinansēti,  10 nozaru asociāciju un citu sadarbības partneru organizēti pasākumi/forumi dažādās jomās, iepērkot LIAA rosināta satura iekļaušanu šajos pasākumos. 2025.gadā plānotais finansējums ir 833 100 EUR. 2026.gadā finansējums šai aktivitātei tiks 2x samazināts - līdz 400 000 EUR, nodrošinot to 5 pasākumu līdzorganizēšanu, kuru ietvaros ir plānots lielākais B2B tikšanos skaits un kurš atbilst LIAA prioritārajiem sektoriem.
2)2025.gadā plānotas 15 līdu ģenerēšanas kampaņas, iepērkot ārējo konsultantu pakalpojumu. Plānotais finansējums 350 000 EUR. Kampaņu rezultāts - noorganizētas 350 tikšanās ar potenciālajiem investoriem. 2026.gadā kampaņu skaits tiks samazināts līdz 10, samazinot finansējumu aktivitātei  līdz 250 000 EUR. Tiks samazināts rezultatīvais rādītājs - 250 tikšanās ar potenciālajiem investoriem.
3)2025.gadā ir paredzēts finansējums 200 000 EUR  jaunu ārējo ekonomisko pārstāvniecību atvēršanai. 2025.gadā šī budžeta pozīcija tiks samazināta līdz 89 145 EUR, organizējot vienas ārējās ekonomiskās pārstāvniecības atvēršanas pasākumu, kas potenciāli nodrošinās 100 jaunus līdus. </t>
  </si>
  <si>
    <t>Mērķtiecīgāk novirzīt elektoenerģijas lietotāju atbalstu mājsaimniecībām, kam atbalsts ir nepieciešams</t>
  </si>
  <si>
    <t>29.02.00 Elektroenerģijas lietotāju atbalsts</t>
  </si>
  <si>
    <t>Nepieciešami  MK 01.06.2021. noteikumu Nr.345 "Aizsargātā lietotāja tirdzniecības pakalpojuma noteikumi"grozījumi, lai atbalstu saņemtu ģimenes, kurām tas visvairāk nepieciešams.</t>
  </si>
  <si>
    <t>Enerģētikas uzraudzības funkciju nodošana Enerģētikas un vides aģentūrai (EVA), precizējot izmaiņas budžeta ietvarā un  izdevumu samazinājumu attiecinot uz  KEM budžetu (atbilstoši MK 2025. gada 30. janvāra rīkojumam Nr. 54 “Par apropriācijas pārdali”, MK 2025. gada 28. janvāra sēdes protokols Nr.4 20.§)</t>
  </si>
  <si>
    <t>29.06.00 Enerģētikas jautājumu administrēšana</t>
  </si>
  <si>
    <t xml:space="preserve">Efektivizēt pasākumus Latvijas starptautiskās konkurētspējas veicināšanai, sociālo tīklu satura veidošanai (t.sk. Latvijas oficiālā tūrisma portāla latvia.travel nodrošināšanai), tūroperatoru vizīšu organizēšanai Latvijā, tirgus pētījumiem, Latvijas starptautiskās komunikācijas kampaņām ārvalstīs. </t>
  </si>
  <si>
    <t>30.00.00 Tūrisma politikas ieviešana</t>
  </si>
  <si>
    <t xml:space="preserve"> - Sagatavotie tūrisma informatīvie materiāli būs pieejama tikai digitālajos kanālos
 - Tūrisma informācijas nodrošināšanai digitālajā vidē par Latviju,samazināts satura apjoms sociālo tīklu kontos
 - samazināts finansējums Latvijas Tūrisma forumam, pārskatot pasākuma organizāciju, samazinot mērogu; ( no 800 dalībnieki samazināts uz 600 dalībnieki)
 - netiks finansēts LTV pārraidītais raidījums “Tas notika šeit”
 - Latvijas starptautiskās konkurētspējas veicināšanas pasākuma ietvaros netiks nodrošināta dalība izstādē World Travel Market 2026; 
 - Valsts tēla pasākumu ietvaros samazināti publicitātes pasākumi pirms izstādēm (Dalība grāmatu un poligrāfijas nozares izstādē Frankfurt Book Fair, dalība kino nozares izstādē Marche du film ).</t>
  </si>
  <si>
    <r>
      <t>Pārskatīt lietderību dalībai starptautiskajās organizācijās,  izstājoties no starptautiskās organizācijas "</t>
    </r>
    <r>
      <rPr>
        <i/>
        <sz val="10"/>
        <color theme="1"/>
        <rFont val="Times New Roman"/>
        <family val="1"/>
        <charset val="186"/>
      </rPr>
      <t>Starptautiskais Svaru un mēru biroja (BIPM Metra konvencija)</t>
    </r>
    <r>
      <rPr>
        <sz val="10"/>
        <color theme="1"/>
        <rFont val="Times New Roman"/>
        <family val="1"/>
        <charset val="186"/>
      </rPr>
      <t xml:space="preserve">". Šāds solis kopsakarā ar konceptuālajā ziņojumā “Par mazo valsts kapitālsabiedrību apvienošanu un optimizāciju vienota tehnoloģiju attīstības centra izveidei” piedāvātajiem risinājumiem neradīs negatīvu ietekmi uz tautsaimniecību. </t>
    </r>
  </si>
  <si>
    <t>34.00.00 Iemaksas starptautiskajās organizācijās</t>
  </si>
  <si>
    <t>7710 Biedra naudas, dalības maksa un iemaksas starptautiskajās institūcijās</t>
  </si>
  <si>
    <r>
      <rPr>
        <sz val="10"/>
        <color theme="1"/>
        <rFont val="Times New Roman"/>
        <family val="1"/>
        <charset val="186"/>
      </rPr>
      <t>2026.gadā neuzsākt jaunu trīs gadu</t>
    </r>
    <r>
      <rPr>
        <b/>
        <sz val="10"/>
        <color theme="1"/>
        <rFont val="Times New Roman"/>
        <family val="1"/>
        <charset val="186"/>
      </rPr>
      <t xml:space="preserve">  </t>
    </r>
    <r>
      <rPr>
        <sz val="10"/>
        <color theme="1"/>
        <rFont val="Times New Roman"/>
        <family val="1"/>
        <charset val="186"/>
      </rPr>
      <t xml:space="preserve">inovāciju pētījumu programmu, izsludinot jaunu pētījumu programmu ar 2027.gadu </t>
    </r>
  </si>
  <si>
    <t>35.00.00 Valsts atbalsta programmas</t>
  </si>
  <si>
    <t xml:space="preserve">2000 Preces un pakalpojumi        </t>
  </si>
  <si>
    <r>
      <t xml:space="preserve">Izvērtējot CA funkcijas samazināt  izdevumus atlīdzībai, komandējumiem, IKT un saimnieciskiem pakalpojumiem </t>
    </r>
    <r>
      <rPr>
        <b/>
        <sz val="10"/>
        <color theme="1"/>
        <rFont val="Times New Roman"/>
        <family val="1"/>
        <charset val="186"/>
      </rPr>
      <t xml:space="preserve"> </t>
    </r>
  </si>
  <si>
    <t>97.00.00 Nozaru vadība un politikas plānošana</t>
  </si>
  <si>
    <t>1000 atlīdzība</t>
  </si>
  <si>
    <t>Finansējums investīciju projektam</t>
  </si>
  <si>
    <t>Īpašumu kompensācijas sertifikātu dzēšana</t>
  </si>
  <si>
    <t>13. Finanšu ministrija piedāvā samazinājumam kopā:</t>
  </si>
  <si>
    <t>Finanšu ministrijai nepieciešams samazināt:</t>
  </si>
  <si>
    <t>Finanšu ministrijai vēl jāsamazina:</t>
  </si>
  <si>
    <t>Bloomberg finanšu tirgus informācijas sistēmas pieslēgums</t>
  </si>
  <si>
    <t>31.01.00 Budžeta izpilde</t>
  </si>
  <si>
    <t>Tiks veikts pieslēguma skaita samazinājums</t>
  </si>
  <si>
    <t>Darbības nepārtrauktības un pakalpojuma drošības un kvalitātes līmeņa nodrošināšanai Valsts kasē</t>
  </si>
  <si>
    <t>Pārskatīts nepieciešamo pakalpojumu un tehniskā apmērs</t>
  </si>
  <si>
    <t>Vienotās valsts budžeta plānošanas un izpildes informācijas sistēmas uzturēšana un konsultācijas</t>
  </si>
  <si>
    <t>Uzturēšanas izdevumu, t.sk. konsultāciju un sistēmu izmaiņu pieprasījumu samazinājums</t>
  </si>
  <si>
    <t>Komandējumi</t>
  </si>
  <si>
    <t>Palielināt attālinās dalības iepspējas.</t>
  </si>
  <si>
    <t>Mācības</t>
  </si>
  <si>
    <t xml:space="preserve">Mācību izdevumi samazināti, lai gan darbinieku skaits ar katru gadu centralizācijas reformas ietvaros pieaug. No resoriem nav pārņemts uzturēšanas izdevumu finansējums, t.sk.mācībām, līdz ar ko ar katru gadu radot lielāku slogu uz Valsts kases esošo budžetu, t.sk. turpmāku darbinieku apmācību </t>
  </si>
  <si>
    <t>Sabiedriskās attiecības un ar tām saistītie pakalpojumi</t>
  </si>
  <si>
    <t>Administratīvās izmaksas</t>
  </si>
  <si>
    <t>Sakaru pakalpojumi, inventārs, kancelejas preces u.c.</t>
  </si>
  <si>
    <t>Procesu, klasifikāciju un datu struktūru salāgošana, konsultācijas</t>
  </si>
  <si>
    <t>HPP “Vienotā pakalpojumu centra izveide”</t>
  </si>
  <si>
    <t>2028.gadā datu migrācijas imaksas samazinātas ievērojamā apmērā, 2029.gadā datu migrācijas samazinātas pilnā apmērā radot būtisku risku reformas centralizācijas noslēguma īstenošanai</t>
  </si>
  <si>
    <t xml:space="preserve">Sistēmu integrāciju pārbūve </t>
  </si>
  <si>
    <t>2028.gadā un 2029.gadā integrāciju izmaksu segšana samazināta pilnā apmērā radot būtisku risku reformas centralizācijas noslēguma īstenošanai</t>
  </si>
  <si>
    <t>IT sistēmu uzturēšana un attīstība</t>
  </si>
  <si>
    <t>IT sistēmu uzturēšanas un attīstības darbi samazināti ievērojamā apmērā radot risku sistēmu darbības, kvalitātes un inovāciju īstenošanai</t>
  </si>
  <si>
    <t>Atlīdzības izdevumi</t>
  </si>
  <si>
    <t>32.00.00 Iepirkumu uzraudzības birojs</t>
  </si>
  <si>
    <t>Pārskatīti atlīdzības izdevumi, pārskatot mēnešalgas un samazinot atlīdzības mainīgo daļu</t>
  </si>
  <si>
    <t>Informācijas sistēmas (Publikāciju vadības sistēmas) uzturēšana</t>
  </si>
  <si>
    <r>
      <t xml:space="preserve">Tiks samazināti IT izdevumi valsts informācijas sistēmas "Publikāciju vadības sistēma" (PVS) uzturēšanai.
</t>
    </r>
    <r>
      <rPr>
        <u/>
        <sz val="10"/>
        <rFont val="Times New Roman"/>
        <family val="1"/>
        <charset val="186"/>
      </rPr>
      <t>Iespējamie riski:</t>
    </r>
    <r>
      <rPr>
        <sz val="10"/>
        <rFont val="Times New Roman"/>
        <family val="1"/>
        <charset val="186"/>
      </rPr>
      <t xml:space="preserve"> 
•	Apdraudēta paziņojumu publicēšana IUB un  ESOV (Eiropas Savienības Oficiālajā vēstnesī), ja netiek veikti nepieciešamie uzlabojumi saistībā ar ESOV tehniskajām validācijām (līdz 4 reizēm gada ietvaros), nav iespējams nosūtīt paziņojumus publicēšanai;
•	Drošības riski  (PVS ir valsts informācijas sistēma) - sistēmas veiktspējas, ātrdarbības nodrošināšana, lietotāju pārvaldība u.tml.;
•	Samazināta datu kvalitāte un apstrādes iespējas;
•	Netiek veikti lietojamības uzlabojumi.</t>
    </r>
  </si>
  <si>
    <t>Informācijas sistēmas (Publikāciju vadības sistēmas) attīstība</t>
  </si>
  <si>
    <t>Tiks samazināti PVS attīstības pasākumi. Riskus skat pie EKK2000 samazinājuma, jo tie ir savstarpēji saistīti</t>
  </si>
  <si>
    <t>33.00.00 Valsts ieņēmumu un muitas politikas nodrošināšana</t>
  </si>
  <si>
    <t>plānots lividēt ~445 amata vietas</t>
  </si>
  <si>
    <t>plānots likvidēt ~50 amata vietas Nodokļu un muitas policijā</t>
  </si>
  <si>
    <t>Valstij piekritīgās mantas realizācija</t>
  </si>
  <si>
    <t>funkcijas nodošana VNĪ</t>
  </si>
  <si>
    <t>Nacionālo un ES normatīvo aktu prasību izpilde, tai skaitā IT sistēmu pielāgošana (2024-2026)</t>
  </si>
  <si>
    <t>Netiks izveidotas 3 galvenā nodokļu inspektora amata vietas</t>
  </si>
  <si>
    <t>Atteikšanās no atlīdzības noteikšanas NVO plārstāvjiem SLO komisijā</t>
  </si>
  <si>
    <t>Oglekļa ievedkorekcijas mehānisma piemērošana Latvijā (2024-2026)</t>
  </si>
  <si>
    <t>Netiks izveidotas 3 vecākā muitas eksperta amata vietas</t>
  </si>
  <si>
    <t>Darba vietas aprīkošana un uzturēšana</t>
  </si>
  <si>
    <t>Netiks segti 3 amata vietu aprīkošanas/ uzturēšanas izdevumi</t>
  </si>
  <si>
    <t>Formas tērpu iegādes</t>
  </si>
  <si>
    <t>Iegādājamo formas tērpu apjoma samazināšana par 50%</t>
  </si>
  <si>
    <t>pārskatīti mācību izdevumi, vairāk izmantojot dažādas bezmaksas apmācību iespējas</t>
  </si>
  <si>
    <t xml:space="preserve">Palielināt attālinās dalības iepspējas. </t>
  </si>
  <si>
    <t>Telpu apsaimniekošanas un uzturēšanas izdevumi</t>
  </si>
  <si>
    <t xml:space="preserve">Atteikšanās no telpu remontu veikšanas, t.sk. MKP, dokumentu arhīvu slēgšana Preiļos un Liepājā, uzkrājuma komponentes samazināšana nomas maksā, Zilupes MKP slēgšana 2026.gadā un Kārsavas MKP slēgšana turpmākajos gados, </t>
  </si>
  <si>
    <t>Nodokļu un muitas policijas uzturēšanas izdevumi</t>
  </si>
  <si>
    <t>pārskatīti autotransporta, slēptās novērošanas, operatīvās darbības u.c.izdevumi, ONNAP 2023-2025 pasākumu atcelšana</t>
  </si>
  <si>
    <t>Muitas tehniskā aprīkojuma uzturēšanas izdevumi</t>
  </si>
  <si>
    <t>palielināsies muitas tehniskā aprīkojuma dīkstāves</t>
  </si>
  <si>
    <t>Funkcijas nodošana VNĪ</t>
  </si>
  <si>
    <t>Jaunu amata vietu aprīkošanas izdevumi</t>
  </si>
  <si>
    <t>Netiks iegādāti 3 datori amata vietu aprīkošanai, jo netiks izveidotas amata vietas</t>
  </si>
  <si>
    <t>IS attīstība/pielāgošana</t>
  </si>
  <si>
    <t>nodrošināts minimālais apmērs bez attīstības</t>
  </si>
  <si>
    <t>Datortehnikas iegāde un atjaunošana</t>
  </si>
  <si>
    <t>atliktas iegādes. Pieaugs IS drošības riski, jo tiks lietota operētājsistēma, kurai ir beidzies ražotāja atbalsts</t>
  </si>
  <si>
    <t>E-muitas izstrāde</t>
  </si>
  <si>
    <t>apjoma samazināšana</t>
  </si>
  <si>
    <t>Pasākumu plāns noziedzīgi iegūtu līdzekļu legalizācijas, terorisma un proliferācijas finansēšanas novēršanai 2024.–2026. gadam</t>
  </si>
  <si>
    <t>atliktas plānotās aprīkojuma iegādes</t>
  </si>
  <si>
    <t>38.01.00 Eiropas Savienības pirmsstrukturālo, strukturālo un citu finanšu instrumentu koordinācija</t>
  </si>
  <si>
    <t xml:space="preserve">Pārskatīts VNĪ nodrošināto pakalpojumu apmērs, izvērtēti nepieciešamie remotdarbi un citi ar telpu uzturēšanu saistīti izdevumi </t>
  </si>
  <si>
    <t>Iestādes sabiedrisko aktivitāšu īstenošana un profesionālās darbības pakalpojumi</t>
  </si>
  <si>
    <t>IT uzturēšana</t>
  </si>
  <si>
    <t>tiks nodrošinātas tikai minimālās prasības</t>
  </si>
  <si>
    <t>Saimnieciskie izdevumi</t>
  </si>
  <si>
    <t>pārskatīts transporta nomas līgums u.c. saimnieciskie jautājumi</t>
  </si>
  <si>
    <t>IT un biroja tehnikas iegāde</t>
  </si>
  <si>
    <t>netiks veiktas plānotās iegādes</t>
  </si>
  <si>
    <t>39.02.00 Izložu un azartspēļu organizēšanas un norises uzraudzība</t>
  </si>
  <si>
    <t>Tiks samazinātas 2 (divas) amata vietas, t.sk. psihologs. Pārskatīti atalgojuma mainīgās daļas kritēriji un politika.</t>
  </si>
  <si>
    <t xml:space="preserve">Izvērtēti izdevumi par komunālajiem pakalpojumiem, ko ietekmē telpu energoefektivitāte (apkures sistēmas rekonstrukcija), energoresursu cenu stabilizēšanās. </t>
  </si>
  <si>
    <t>Dienesta transportlīdzekļa uzturēšanas izdevumi</t>
  </si>
  <si>
    <t>Pēc hibrīdauto iegādes samazinājušies izdevumi par degvielu un remonta izdevumi. Pārskatīta automašīnas stāvvietas atrašanās vieta.</t>
  </si>
  <si>
    <t>Biroja preču un inventāra iegāde</t>
  </si>
  <si>
    <t>Digitalizācijas ietvaros pārskatīta kancelejas preču un inventāra iegādes nepieciešamība.</t>
  </si>
  <si>
    <t>Dažādi pakalpojumi</t>
  </si>
  <si>
    <t>Tiks pārtraukta sabiedrosko attiecību ārpakalpojuma izmantošana, kas tiks nodrošināta iestādes ietvaros.  Azartspēļu nozares attīstības monitoringa datu ieguvē tiks izmantots cits informācijas avots.</t>
  </si>
  <si>
    <t>Pamatkapitāla iegādes</t>
  </si>
  <si>
    <t>Netiks veiktas plānotās pamatkapitāla iegādes (biroja tehnika, mēbeles u.c.)</t>
  </si>
  <si>
    <t>Saimnieciskās darbības ar dārgmetāliem, dārgakmeņiem un to izstrādājumiem vietu pārbaudes visā valsts teritorijā</t>
  </si>
  <si>
    <t>39.03.00 Dārgmetālu izstrādājumu proves uzraudzība un pārbaude</t>
  </si>
  <si>
    <t>Tiks samazināts veicamo pārbaužu skaits, attiecīgi mazinot rezultatīvo rādītāju apmēru</t>
  </si>
  <si>
    <t xml:space="preserve">pārskatīts virsstundu apmērs un vienreizējās piemaksas </t>
  </si>
  <si>
    <t xml:space="preserve"> IT uzturēšana</t>
  </si>
  <si>
    <t>pārskatīts maināmo telefonu, monitoru skaits un grafiks. Izvērtēts nepieciešamo licenču skaits, kā arī IT aksesuāru iegādes (austiņas, klaviatūras, mikrofoni, aprīkojuma uzlabojumu veikšana konferenču telpās u.c.)</t>
  </si>
  <si>
    <t>Pārskatīts VNĪ nodrošināto pakalpojumu apmērs, izvērtēti nepieciešamie remotdarbi un citi ar telpu uzturēšanu saistīti izdevumi (piem., logu mazgāšana 1x gadā)</t>
  </si>
  <si>
    <t>Pārskatīti komunikācijas pakalpojumu veidi un iespējas, kā arī izvērtēti nepieciešamie profesionālie pakalpojumi (kampaņu izdevumi, tulkošanas izdevumi, konsultācijas u.c.)</t>
  </si>
  <si>
    <t>Pārstāvības izdevumi un biroja preces</t>
  </si>
  <si>
    <t>Ņemot vērā dokumentu elektronisko apriti, samazināti kancelejas un biroja preču izdevumi, kā arī pārskatīta pārstāvības pasākumu organizēšana</t>
  </si>
  <si>
    <t>Mēbeļu iegāde</t>
  </si>
  <si>
    <t>Ņemot vērā, ka samazināti remondarbu izdevumi, netiks samazināts arī plānotais mēbeļu iegādes apmērs</t>
  </si>
  <si>
    <t>IT nodrošinājums</t>
  </si>
  <si>
    <t>pārskatīts licenču skaits, kā arī portatīvo datoru un mobilo telefonu nomaiņas grafiks</t>
  </si>
  <si>
    <t>14. Iekšlietu ministrija piedāvā samazinājumam kopā:</t>
  </si>
  <si>
    <t>Iekšlietu ministrijai nepieciešams samazināt:</t>
  </si>
  <si>
    <t>Iekšlietu ministrijai vēl jāsamazina:</t>
  </si>
  <si>
    <t>02.03.00 Vienotās sakaru un informācijas sistēmas uzturēšana un vadība</t>
  </si>
  <si>
    <t>Izdevumu samazinājums iekārtu uzturēšanai</t>
  </si>
  <si>
    <t>Izdevumu samazinājums atlīdzībai</t>
  </si>
  <si>
    <t>06.01.00 Valsts policijas darbība</t>
  </si>
  <si>
    <t xml:space="preserve">1000 Atlīdzība </t>
  </si>
  <si>
    <t>Izdevumu samazinājums nodarbināto materiālajai stimulēšanai</t>
  </si>
  <si>
    <t>07.00.00 Ugunsdrošība, glābšana un civilā aizsardzība</t>
  </si>
  <si>
    <t>10.00.00 Valsts robežsardzes darbība</t>
  </si>
  <si>
    <t>11.01.00 Pilsonības un migrācijas lietu pārvalde</t>
  </si>
  <si>
    <t>Samazināti izdevumi pamatkapitāla veidošanai</t>
  </si>
  <si>
    <t>Valsts apmaksātu veselības aprūpes pakalpojumu pieejamības paaugstināšana</t>
  </si>
  <si>
    <t>38.05.00 Veselības aprūpe un fiziskā sagatavotība</t>
  </si>
  <si>
    <t>2024.-2026.PPP "Valsts apmaksātu veselības aprūpes pakalpojumu pieejamības paaugstināšana Iekšlietu ministrijas sistēmas iestāžu un Ieslodzījuma vietu pārvaldes amatpersonām ar speciālajām dienesta pakāpēm"</t>
  </si>
  <si>
    <t>Iekšlietu ministrijas sistēmas iestāžu un Ieslodzījuma vietu pārvaldes amatpersonas ar speciālajām dienesta pakāpēm neizmanto veselības aprūpes pakalpojumus plānotajā apmērā. Amatpersonu skaita samazinājums iestādēs arī atstāj ietekmi uz kompensāciju pieprasījumu</t>
  </si>
  <si>
    <t>Izdevumu samazinājums kapitālajām iegādēm</t>
  </si>
  <si>
    <t>40.02.00 Nekustamais īpašums un centralizētais iepirkums</t>
  </si>
  <si>
    <t>Samazināti izdevumi pamatkapitāla veidošanai Iekšlietu ministrijas padotības iestādžu darbības nodrošināšanai</t>
  </si>
  <si>
    <t>42.00.00 Iekšējās drošības biroja darbība</t>
  </si>
  <si>
    <t>Izdevumu samazinājums profesionālajiem pakalpojumiem</t>
  </si>
  <si>
    <t>43.00.00 Finanšu izlūkošanas dienesta darbība</t>
  </si>
  <si>
    <t>15. Izglītības un zinātnes ministrija piedāvā samazinājumam kopā:</t>
  </si>
  <si>
    <t>Izglītības un zinātnes ministrijai nepieciešams samazināt:</t>
  </si>
  <si>
    <t>Izglītības un zinātnes ministrijai vēl jāsamazina:</t>
  </si>
  <si>
    <t>Pedagogu profesionālās kompetences pilnveidošanas kursi pašvaldību iestādēs un iepirkumu procedūras rezultātā īstenotie kursi.</t>
  </si>
  <si>
    <t>01.11.00 Pedagogu profesionālās kompetences pilnveidošana</t>
  </si>
  <si>
    <t>Studiju bāzes finansējums</t>
  </si>
  <si>
    <t>03.01.00 Augstākās izglītības programmu nodrošināšana</t>
  </si>
  <si>
    <t xml:space="preserve">IZM plāno virzīt saskaņošanai informatīvo ziņojumu  “Par augstākās izglītības institucionālās finansēšanas izmēģinājumprojektu” (25-TA-1343), kurā arī tiek ziņots par līdz šim sasniegtajiem rezultātiem reformas ieviešanā. Reformas turpināšanai turpmākajos gados 74.resorā ir rezervēts finansējums 10 miljonu eiro apmērā 2026. gadam.
Ņemot vērā sasniegtos rezultātus, ir secināts, ka pastāv iespēja institucionālā finansējuma izmēģinājuma projektu veiksmīgi īstenot arī 8 miljonu eiro apmērā, bet tā kā lēmums par apropriācijas pārdali 10 milj.euro apmērā uz IZM budžetu vēl nav pieņemts, tad šobrīd samazinājums tiek piedāvāts no kopējā augstskolu finansējuma, kas pēc pārdales tiks kompensēts ar institucionālā finansējuma līdzekļiem.
</t>
  </si>
  <si>
    <t>STEM skolotāju sagatavošanas programma (RTU)</t>
  </si>
  <si>
    <t>STEM skolotāju sagatavošanas programma 3 gadiem (310 000 euro 2024-2026. gadam)</t>
  </si>
  <si>
    <t>Inovatīvas valsts digitālās pārvaldības zinātniskās un mācību kompetences attīstība ar tenūra modeli un studiju programmu (RTU)</t>
  </si>
  <si>
    <t>Augstākās izglītības padomes funkciju izpildei</t>
  </si>
  <si>
    <t>03.08.00 Augstākās izglītības padome</t>
  </si>
  <si>
    <t>Latvijas Zinātnes padomes projekti (FLPP, VPP, NSF, Bilateriālie projekti, LZP IT izmaksas)</t>
  </si>
  <si>
    <t>05.01.00 Zinātniskās darbības nodrošināšana</t>
  </si>
  <si>
    <t>2025.gadā beidzas vairāku valsts pētījumu programmu īstenošanas periods. 2026.gadā plānots uzsākt jaunu valsts pētījumu programmu īstenošanu par mazāku finansējumu šādām programmām - "Klimatneitralitātes mērķu sasniegšanas lēmumu pieņemšanas atbalsta sistēma”, "Sabiedrības veselība", “Vietējo resursu izpēte un ilgtspējīga izmantošana Latvijas attīstībai” un "Saliedētas un pilsoniksi aktīvas sabiedrības attīstība".</t>
  </si>
  <si>
    <t>Akadēmiskā tīkla uzturēšana un datu bāzu abonēšana</t>
  </si>
  <si>
    <t>05.02.00 Zinātnes bāzes finansējums</t>
  </si>
  <si>
    <t>Dotācija sporta organizāciju, programmu un pasākumu atbalstam (Samazināt sportistu skaitu LOV,  atteikties no augstas klases sportistu sagatavošanas centriem u.c.)</t>
  </si>
  <si>
    <t>09.07.00 Dotācija sporta organizāciju, programmu un pasākumu atbalstam</t>
  </si>
  <si>
    <t>Samazinājums: 416000 EUR (konkurss -pasākumi, sacensības); 221000 EUR (augstas klases sportistu sagatavošanas centri); 160000 EUR (komandu sporta spēļu nacionālo izlašu finansējums); 680000 EUR (Latvijas Olimpiskā vienība); 229283 EUR (dotācija atzītajām sporta federācijām)</t>
  </si>
  <si>
    <t xml:space="preserve">Padotības iestāžu administratīvajās izmaksās </t>
  </si>
  <si>
    <t>04.00.00 Valsts valodas politika un pārvalde</t>
  </si>
  <si>
    <t>42.07.00 Izglītības kvalitātes valsts dienesta darbības nodrošināšana</t>
  </si>
  <si>
    <t>42.09.00 Latvijas Zinātnes padome</t>
  </si>
  <si>
    <t xml:space="preserve">Ministrijas izdevumi atlīdzībai un pabalstiem </t>
  </si>
  <si>
    <t>97.01.00 Ministrijas centrālā aparāta darbības nodrošināšana</t>
  </si>
  <si>
    <t>16. Zemkopības ministrija piedāvā samazinājumam kopā:</t>
  </si>
  <si>
    <t>Zemkopības ministrijai nepieciešams samazināt:</t>
  </si>
  <si>
    <t>Zemkopības ministrijai vēl jāsamazina:</t>
  </si>
  <si>
    <t>20.01.00 Pārtikas nekaitīguma un dzīvnieku veselības valsts uzraudzība un kontrole</t>
  </si>
  <si>
    <t>Samazināts nomāto auto skaits un pārskatītas visas izdevumu pozīcijas</t>
  </si>
  <si>
    <t>Inspektoru aprīkojums, IT izstrādes, u.c. kapitālie ieguldījumi</t>
  </si>
  <si>
    <t>Līgums 2018/42 Normatīvajos aktos noteikto funkciju un valsts pārvaldes uzdevumu izpilde. References laboratorijas funkciju nodrošināšanai normatīvajos aktos noteiktajās jomās</t>
  </si>
  <si>
    <t>20.02.00 Riska zinātniskā novērtēšana un references laboratorijas funkciju veikšana dzīvnieku veselības, pārtikas un dzīvnieku barības jomā</t>
  </si>
  <si>
    <t>7400 
Pārējie valsts budžeta uzturēšanas izdevumu transferti citiem budžetiem</t>
  </si>
  <si>
    <t>Līgums 2018/42 Normatīvajos aktos noteikto funkciju un valsts pārvaldes uzdevumu izpilde. Oficiālās kontroles ietvaros veiktie laboratoriskie izmeklējumi pārtikas jomā</t>
  </si>
  <si>
    <t>7400 Pārējie valsts budžeta uzturēšanas izdevumu transferti citiem budžetiem</t>
  </si>
  <si>
    <t>Līgums 2018/42 Normatīvajos aktos noteikto funkciju un valsts pārvaldes uzdevumu izpilde. Funkciju un valsts pārvaldes uzdevumu izpilde saskaņā ar normatīvajos aktos noteikto kompetenci (samazinājums attiecināms uz riska zinātnisko novērtēšanu pārtikas jomā, dzīvnieku veselības un sabiedrības veselības jomā)</t>
  </si>
  <si>
    <t xml:space="preserve">Samazināts finansējums kas nodrošina lauksaimniekiem atbalstu subsidēta pakalpojuma veidā gan piena pārraudzības analīzes, gan sertificētās sēklas pakalpojumus. </t>
  </si>
  <si>
    <t>21.01.00 Valsts atbalsts lauksaimniecības un lauku attīstībai</t>
  </si>
  <si>
    <t>Samazinot finansējumu, pakalpojuma izmaksas būs jānosedz lauksiamniekiem.</t>
  </si>
  <si>
    <t xml:space="preserve">Samazināt 12 amata vietas (3%);
Samazināt prēmijas par ikgadējās novērtēšanas rezultātu apmēru   </t>
  </si>
  <si>
    <t xml:space="preserve">21.02.00 Sabiedriskā finansējuma administrēšana un valsts uzraudzība lauksaimniecībā </t>
  </si>
  <si>
    <t>Pārskatīt izdevumus par informācijas tehnoloģiju pakalpojumiem, komandējumiem, auto nomu, telpu nomu un citus izdevumus.</t>
  </si>
  <si>
    <t>Informācijas sistēmas izmaiņu pieprasījuma samazinājums, nomas maksas samazinājums programmatūraiun informācijas tehnoloģiju pakalpojumiem</t>
  </si>
  <si>
    <t>Samazināsim  datorpakalpojumus, licenču izmaksas. Biroja tehnikas, servertehnikas atjaunināšanas atlikšana.</t>
  </si>
  <si>
    <t>22.03.00 Kultūra</t>
  </si>
  <si>
    <t>22.05.00 Dotācija SIA "Latvijas Lauku konsultāciju un izglītības centrs" informācijas analīzes un apmaiņas sistēmai</t>
  </si>
  <si>
    <t>Samazināt 17 amata vietas (3%);
Samazināsim vai izslēgsim prēmijas par ikgadējās novērtēšanas rezultātiem un samazināsim vai izslēgsim atvaļinājuma pabalstus.</t>
  </si>
  <si>
    <t>24.01.00 Meža resursu valsts uzraudzība</t>
  </si>
  <si>
    <t xml:space="preserve">Ar 01.04.2024. VMD ir veicis strukturālas izmaiņas un struktūras optimizāciju. Optimizācijas rezultātā nodarbināto skaits tika samazināts par 60,5 amata vietām, kas ir 9,42 % pret nodarbināto skaitu uz 01.01.2024. </t>
  </si>
  <si>
    <t>24.02.00 Valsts atbalsta pasākumi meža nozarē</t>
  </si>
  <si>
    <t>Zivju resursu atražošana</t>
  </si>
  <si>
    <t>25.01.00 Zivju izmantošanas regulēšana, atražošana un izpēte</t>
  </si>
  <si>
    <t>Zivju resursu izpēte un izmantošanas regulēšana</t>
  </si>
  <si>
    <t>25.02.00 Zivju fonds</t>
  </si>
  <si>
    <t>26.02.00 Meliorācijas kadastra uzturēšana, valsts meliorācijas sistēmu un valsts nozīmes meliorācijas sistēmu ekspluatācija un uzturēšana</t>
  </si>
  <si>
    <t>26.03.00 Ikgadējie maksājumi par Daugavas kaskādes HES zemes resursiem nodarīto kaitējumu kompensēšanu</t>
  </si>
  <si>
    <t xml:space="preserve">Samazinātas 5 amata vietas </t>
  </si>
  <si>
    <t>27.00.00 Augu veselība un augu aprites uzraudzība</t>
  </si>
  <si>
    <t>Neveicam ĢMO kontroli (paraugu ņemšana, analīze)</t>
  </si>
  <si>
    <t>Koksnes iepakojamā materiāla uzraudzības pārbaužu samazinājums</t>
  </si>
  <si>
    <t>Neveiksim Uzraudzību Latvijā ievestai sēklai (plānā 161 sēklu partijai (paraugu ņemšna, analīzes)</t>
  </si>
  <si>
    <t xml:space="preserve">Neņemsim dalību augu aizsardzības līdzekļu paraugu ņemšnā, kam beidzies derīguma termiņš </t>
  </si>
  <si>
    <t>Neveiksim invazīvo sugu uzraudzību uz sūdzību pamata, neiesaistīsimies agrās brīdinājuma sistēmas ieviešanā</t>
  </si>
  <si>
    <t xml:space="preserve"> Tiks samazināts monitorings bakteriālās iedegas uzraudzībai</t>
  </si>
  <si>
    <t>Pārskatīsim telpu nomu reģionālajās nodaļās</t>
  </si>
  <si>
    <t>Ietaupītie resursi (sakarā ar digitalizāciju, - kārtridži, kancelejas pr…..</t>
  </si>
  <si>
    <t>Neveiksim Kapitālieguldījumus (netiks veikta plānotā datortehnikas nomaiņa, autoparka nomaiņa, pārskatīts laboratorijas iekārtu atjaunošanas plāns)</t>
  </si>
  <si>
    <t>Prēmijas un naudas balvas; piemaksas par aizvietošanu un papildus darbu</t>
  </si>
  <si>
    <t>Reprezentācijas, apmācības, Horizon, komunālo pakalpojumu izmaksas</t>
  </si>
  <si>
    <t>17. Satiksmes ministrija piedāvā samazinājumam kopā:</t>
  </si>
  <si>
    <t>Satiksmes ministrijai nepieciešams samazināt:</t>
  </si>
  <si>
    <t>Satiksmes ministrijai vēl jāsamazina:</t>
  </si>
  <si>
    <t>97.00.00 Nozares vadība un politikas plānošana</t>
  </si>
  <si>
    <t>Satiksmes nozares pārvaldības un finansēšanas modeļa reforma</t>
  </si>
  <si>
    <t xml:space="preserve">SM norādītais skaidrojums, ka sākot ar 2027.gadu samazinās un sākot 2028.g. SM 97.00.00 programmā vairs nav pieejams maksas pakalpojumu un citu pašu ieņēmumu atlikums (EKK 2232 Izdevumi par profesionālās darbības pakalpojumiem) </t>
  </si>
  <si>
    <t xml:space="preserve">Investīciju samazinājums ceļiem </t>
  </si>
  <si>
    <t>23.06.00 Valsts autoceļu uzturēšana un atjaunošana</t>
  </si>
  <si>
    <t>Proporcionāls samazinājuma sadalījums atbilstoši Likuma “Par autoceļiem” 12. panta ceturtā daļai</t>
  </si>
  <si>
    <t>9710 Pārējie valsts budžeta kapitālo izdevumu transferti pašvaldībām</t>
  </si>
  <si>
    <t>Izdevumu samazinājums mērķdotācijām autoceļiem (ielām)</t>
  </si>
  <si>
    <t>23.04.00 Mērķdotācijas pašvaldību autoceļiem (ielām)</t>
  </si>
  <si>
    <t>Šāds pasākums nav budžeta izdevumu samazinājums, kā arī tas neradīs papildu ieņēmumus budžetā, ievērojot, ka akciju pārdošanas rezultātā samazināsies līdzdalība attiecīgajā kapitālsabiedrībā, kas atbilstoši klasifikācijai ir budžeta finansēšanas daļas darījums. 
SM nosūtīta FM 03.07.2025. vēstule Nr.3.2-16/2-9/2015</t>
  </si>
  <si>
    <t>18. Labklājības ministrija (pamatbudžets) piedāvā samazinājumam kopā:</t>
  </si>
  <si>
    <t>Labklājības ministrijai (pamatbudžets) nepieciešams samazināt:</t>
  </si>
  <si>
    <t>Labklājības ministrijai (pamatbudžets) vēl jāsamazina:</t>
  </si>
  <si>
    <t>07.01.00 Nodarbinātības valsts aģentūras darbības nodrošināšana</t>
  </si>
  <si>
    <t>20.02.00 Izdienas pensijas</t>
  </si>
  <si>
    <t>21.01.00 Darba tiesisko attiecību un darba apstākļu kontrole un uzraudzība</t>
  </si>
  <si>
    <t>Lielākie samazinājumi - samazināts autoparks 5 transportlīdzekļi, pārskatot un izvērtējot transportlīdzekļu nepieciešamību un efektivitāti (nobraukumu, remontus) plānots optimizēt autoparku, kas neietekmēs inspektoru veicamos pienākumus,   līdz ar to samazināti izdevumi transportlīdzekļu uzturēšanai, remontam un degvielai, samazināti izdevumi biroja preču un inventāra iegādei, samazināti komandējuma izdevumi.</t>
  </si>
  <si>
    <t>22.03.00 Valsts atbalsts ārpusģimenes aprūpei</t>
  </si>
  <si>
    <t>7460 Pārējie valsts budžeta uzturēšanas izdevumu transferti pašvaldībām</t>
  </si>
  <si>
    <r>
      <t>2023. – 2025. gada prioritārais pasākums “Ārpusģimenes aprūpes atbalsta pakalpojumu pilnveide, tai skaitā bērniem īpašās situācijās” apakšpasākums “Nodrošināts bāreņu un bez vecāku gādības palikušo bērnu atbalsts patstāvīgas dzīves uzsākšanai pēc pilngadības sasniegšanas” plānotais finansējums  2 517 962</t>
    </r>
    <r>
      <rPr>
        <i/>
        <sz val="10"/>
        <rFont val="Times New Roman"/>
        <family val="1"/>
        <charset val="186"/>
      </rPr>
      <t xml:space="preserve"> euro </t>
    </r>
  </si>
  <si>
    <t>97.01.00 Labklājības nozares vadība un politikas plānošana</t>
  </si>
  <si>
    <t>97.02.00 Nozares centralizēto funkciju izpilde</t>
  </si>
  <si>
    <t>18. Labklājības ministrija (speciālais budžets) piedāvā samazinājumam kopā:</t>
  </si>
  <si>
    <t>Labklājības ministrijai (speciālais budžets) nepieciešams samazināt:</t>
  </si>
  <si>
    <t>Labklājības ministrijai (speciālais budžets) vēl jāsamazina:</t>
  </si>
  <si>
    <t>04.02.00 Nodarbinātības speciālais budžets</t>
  </si>
  <si>
    <t>04.05.00 Valsts sociālās apdrošināšanas aģentūras speciālais budžets</t>
  </si>
  <si>
    <t>19. Tieslietu ministrija piedāvā samazinājumam kopā:</t>
  </si>
  <si>
    <t>Tieslietu ministrijai nepieciešams samazināt:</t>
  </si>
  <si>
    <t>Tieslietu ministrijai vēl jāsamazina:</t>
  </si>
  <si>
    <t>Autotransporta uzturēšanas izdevumi</t>
  </si>
  <si>
    <t>03.01.00 Tiesu administrēšana</t>
  </si>
  <si>
    <r>
      <t xml:space="preserve">2024.gada PP “Tiesu darbības nodrošināšana un infrastruktūras uzturēšanas izdevumu segšana” (MK 26.09.2023. sēdes prot. Nr.47 43.§)
Piešķirtais finansējums 2026.g. un turpmāk ik gadu 14 005 </t>
    </r>
    <r>
      <rPr>
        <i/>
        <sz val="10"/>
        <color theme="1"/>
        <rFont val="Times New Roman"/>
        <family val="1"/>
        <charset val="186"/>
      </rPr>
      <t xml:space="preserve">euro </t>
    </r>
  </si>
  <si>
    <t>Izdevumi Valsts zemes dienesta administratīvajām darbībām likumā paredzēto darbību veikšanai</t>
  </si>
  <si>
    <t xml:space="preserve">07.00.00 Nekustamā īpašuma tiesību politikas īstenošana </t>
  </si>
  <si>
    <t>2023.gada PP “Piespiedu dalītā īpašuma izbeigšana privatizētajās daudzdzīvokļu mājās“ (MK 13.01.2023. sēdes prot. Nr.2 1.§)
Piešķirtais finansējums 2026.g. un turpmāk ik gadu 959 836 euro</t>
  </si>
  <si>
    <t>Atlīdzība zvērinātiem tiesu izpildītājiem par likumā paredzēto darbību veikšanu</t>
  </si>
  <si>
    <t>03.05.00 Atlīdzība tiesu izpildītājiem par izpildu darbībām</t>
  </si>
  <si>
    <t>2023.gada PP “Piespiedu dalītā īpašuma izbeigšana privatizētajās daudzdzīvokļu mājās“ (MK 13.01.2023. sēdes prot. Nr.2 1.§)
Piešķirtais finansējums 2026.g. un turpmāk ik gadu 892 744 euro</t>
  </si>
  <si>
    <t>Atlīdzība vienai amata vietai Tieslietu ministrijā</t>
  </si>
  <si>
    <t>2023.gada PP “Piespiedu dalītā īpašuma izbeigšana privatizētajās daudzdzīvokļu mājās“ (MK 13.01.2023. sēdes prot. Nr.2 1.§)
Piešķirtais finansējums 2026.g. un turpmāk ik gadu  68 178 euro</t>
  </si>
  <si>
    <t>samazināta viena mata vieta</t>
  </si>
  <si>
    <t>Uzņēmumu reģistra informācijas sistēmas un Eiropas Centrālās platformas un reģistru savstarpējās savienojamības sistēmas integrācijas  uzturēšana</t>
  </si>
  <si>
    <t xml:space="preserve">06.01.00 Juridisko personu reģistrācija </t>
  </si>
  <si>
    <t>2022.gada PP “Digitalizācijas direktīvas ieviešana, t.sk. integrācijas ar Eiropas Centrālās platformas un reģistru savstarpējās savienojamības sistēmu ikgadējā uzturēšana“ (MK 24.09.2021. sēdes prot. Nr.63 1.§)
Piešķirtais finansējums 2026.g. un turpmāk ik gadu 81 675 euro</t>
  </si>
  <si>
    <t>Atlīdzība viena eksperta amata vietai.</t>
  </si>
  <si>
    <t>2024.gada PP “Latvijas Republikas kapacitātes un lomas stiprināšana starptautisko tiesību jautājumos, tostarp Ukrainas tiesiskais atbalsts” (MK 26.09.2023. sēdes prot. Nr.47 43.§)
Piešķirtais finansējums 2026.g. un turpmāk ik gadu 400 343 euro</t>
  </si>
  <si>
    <t>Uzņēmumu reģistra informācijas sistēmu uzturēšanas izdevumi</t>
  </si>
  <si>
    <t>Procesu optimizācija oficiālās publikācijas un tiesiskās informācijas nodrošināšanā (LV)</t>
  </si>
  <si>
    <t>09.07.00 Oficiālās publikācijas un tiesiskās informācijas nodrošināšana</t>
  </si>
  <si>
    <t>Lietvedības procesu optimizēšana VPD</t>
  </si>
  <si>
    <t>04.03.00 Probācijas īstenošana</t>
  </si>
  <si>
    <t>Uzturlīdzekļu garantiju fonda dotācijas daļas samazinājums</t>
  </si>
  <si>
    <t>03.08.00 Uzturlīdzekļu garantiju fonds</t>
  </si>
  <si>
    <t>dotācijas samazinājums daļēji tiks aizstāts ar regresa kārtībā atgūto līdzekļu pieaugumu. Vienlaicīgi priekšlikums no 2026.gada palielināt izmaksājamo uzturlīdzekļu apmēru par 30 euro. Tam vajadzēs izmantot iepriekšējo periodu pašu ieņēmumu atlikumu ~ 6.milj. euro 2026.gadā. Turpmāk pašu ieņēmumi no atlikuma iepriekš plānotajā līmenī</t>
  </si>
  <si>
    <t>Konfiskācijas fonda iesaldēšana</t>
  </si>
  <si>
    <t>10.00.00 Noziedzīgi iegūtu līdzekļu konfiskācijas fonds</t>
  </si>
  <si>
    <t>20. Klimata un enerģētikas ministrija piedāvā samazinājumam kopā:</t>
  </si>
  <si>
    <t>Klimata un enerģētikas ministrijai nepieciešams samazināt:</t>
  </si>
  <si>
    <t>Klimata un enerģētikas ministrijai vēl jāsamazina:</t>
  </si>
  <si>
    <t>Klimata un enerģetikas ministrija</t>
  </si>
  <si>
    <t>Samazināts finanējums pētījumiem un no tiem izrietošo pasākumu īstenošanai klimata un enerģētikas jomā, lai īstenotu ilgtspējīgu, izmaksu efektīvu, inovatīvu, tautsaimniecības vajadzībām un ES regulējumam atbilstošu klimata un enerģētikas politiku.</t>
  </si>
  <si>
    <t>01.00.00 Valsts pētījumi klimata un enerģētikas jomā</t>
  </si>
  <si>
    <t>Samazināts plānotais finanējums enerģētikas politikas mērķu sasniegšanas administrēšanai</t>
  </si>
  <si>
    <t>21. Viedās administrācijas un reģionālās attīstības ministrija piedāvā samazinājumam kopā:</t>
  </si>
  <si>
    <t>Viedās administrācijas un reģionālās attīstības ministrijai nepieciešams samazināt:</t>
  </si>
  <si>
    <t>Viedās administrācijas un reģionālās attīstības ministrijai vēl jāsamazina:</t>
  </si>
  <si>
    <t>Vides aizsardzības projekti</t>
  </si>
  <si>
    <t>21.02.00 Vides aizsardzības projekti</t>
  </si>
  <si>
    <t>Proporcionāli finansējuma samazinājuma apmēram samazināsies LVAF padomes 2024. gada 19. decembrī apstiprināta darbības programmas 2025. – 2026.gadam (dabas jomai) paredzēto darbības virzienu ietvaros  atbalstāmo projektu finansējums šādos virzienos:
• Sabiedrības apziņas par dabas draudzīgu un atbildīgu dzīvesveidu veicināšana (izpratnes veidošana)
• Sugu un biotopu stāvokļa uzlabošanas pasākumi;
• Atbalsts dabas aizsardzības sistēmas dalībnieku rīcībspējas uzlabošanai bioloģiskās daudzveidības
saglabāšanai;
• Atbalsts Nacionālas nozīmes projektiem.
Finansējuma samazinājums 313 483 EUR apmērā ir attiecināms uz KEM kā atbildīgo par LVAF daļu vides jomā.</t>
  </si>
  <si>
    <t>Nozares vides projekti</t>
  </si>
  <si>
    <t>21.13.00 Nozares vides projekti</t>
  </si>
  <si>
    <t>Samazināsies institūciju kapacitātes stiprināšanas un darbības atbalstīšana, kas nodrošina papildu atbalstu VARAM un VARAM padotības iestāžu konkrētas funkcijas īstenošanai un/vai atsevišķas funkcijas izpildes
kvalitātes paaugstināšanai.
Finansējuma samazinājums 83 805 EUR apmērā ir attiecināms uz KEM kā atbildīgo par LVAF daļu vides jomā.</t>
  </si>
  <si>
    <t>LNBD uzturēšanas izdevumi</t>
  </si>
  <si>
    <t>24.05.00 Latvijas Nacionālais botāniskais dārzs</t>
  </si>
  <si>
    <t xml:space="preserve">Tiks pārtraukts LNBD uzsāktais iepirkums iekšējā piebraucamā ceļa posmā, no Rīgas ielas, rekonstrukcijai. Projekts izstrādāts un par projektēšanu veikta apmaksa. </t>
  </si>
  <si>
    <t>24.06.00 Latvijas Nacionālā Dabas muzeja darbības nodrošināšana</t>
  </si>
  <si>
    <t>Nespēs nodrošināt turpmāko darbību un būs spiests samazināt pieejamību apmeklētājiem (dienu skaits), taču tas neietaupīs līdzekļus sistēmu uzturēšanā un apsardzei;
Netiks ievērotas MK noteikumos noteiktās prasības Nacionālā muzeju krājuma saglabāšanai, risks daļai kolekciju kvalitātes nodrošināšanai vai pilnīgai zaudēšanai. Risks Latvijas Nacionālajam dabas muzejam netikt akreditētam;
Netiks nodrošināta pieeja muzeja ekspozīcijām cilvēkiem ar kustību traucējumiem un senjoriem (regulāri lifta uzturēšanas, plānoti un neplānoti remontdarbi);
Tiks ievērojami samazināti rezultatīvie rādītāji pakalpojumu sniegšanā, kas būtiski ietekmēs pašu ieņēmumus. LNDM strādās pie ieņēmumu palielināšanas.</t>
  </si>
  <si>
    <t>24.08.00 Nacionālo parku darbības nodrošināšana</t>
  </si>
  <si>
    <t xml:space="preserve">Nevarēsim veikt remontdarbus izveidotajai infrastruktūrai, uzturēt takas (Sildu taka tiks slēgta; Lielais liepu kalna skata torņa uzturēšana), tie ir aptuveni 20 objekti, kas tiktu slēgti. Attiecīgi šeit būtu jāpārskata DAP rezultatīvie rādītāji (samazinot 20 objektu uzturēšanu), jo pie šī scenārija būs nepieciešams likvidēt atsevišķus tūrisma infrastruktūras objektus (takas, laipas, stāvlaukumus, tualetes). </t>
  </si>
  <si>
    <t>Kompensāciju finansējuma samazinājums pamatots ar DAP priekšlikumu VARAM izstrādē esošajā noteikumu projektā “Īpaši aizsargājamo sugu dzīvnieku nodarīto būtisko postījumu radīto zaudējumu noteikšanas kārtība” (24-TA-2909) ietvert nosacījumu, ja, lai novērstu postījumus augkopības un akvakultūras nozarei, kā aizsardzības pasākums tiek piemērota nemedījamo sugu (zosis, kormorāni) indivīdu ieguve (letāla atbaidīšana), tad kompensāciju nepiešķir.  Tas samazinātu arī administratīvo slogu DAP, jo šobrīd DAP izsniedz atļaujas nemedījamo sugu ieguvei un vienlaikus organizē komisijas zosu un kormorānu nodarīto postījumu novērtēšanai dabā un izmaksā kompensāciju.</t>
  </si>
  <si>
    <t>Samazinājuma dēļ par šo finansējumu/pasākumu netiks veikta skatu torņa renovācija (Līgatnē), Meža ceļa posmu, stāvlaukumu rekonstrukcija (Līgatnes dabas takas); Lielā liepu kalna rekonstrukcijas darbi.</t>
  </si>
  <si>
    <t>ERAF Projekta Nr.2.2.1.1/21/I/001  „Datu izplatīšanas un pārvaldības platforma (DAGR)” - MAP, Vienota Valsts ģeoloģijas fonda informācijas digitalizācijas platformas un TAPIS rezultātu uzturēšana</t>
  </si>
  <si>
    <t>30.00.00 Attīstības nacionālie atbalsta instrumenti</t>
  </si>
  <si>
    <t xml:space="preserve">VARAM Teritorijas attīstības plānošanas informācijas sistēma (TAPIS) kas ir integrēta datu vide teritorijas attīstības plānošanas dokumentu izstrādei. </t>
  </si>
  <si>
    <t>LVĢMC Vienota Valsts ģeoloģijas fonda informācijas digitalizācijas platforma, kas tiek izmantota Valsts ģeoloģijas fonda materiālu elektroniskā kataloga  digitālo materiālu uzglabāšanai</t>
  </si>
  <si>
    <t>7131 Valsts budžeta transferti no valsts pamatbudžeta dotācijas no vispārējiem ieņēmumiem uz valsts pamatbudžetu</t>
  </si>
  <si>
    <t>IeM IC MAP - Mērķa pārvaldības platoforma - universāls risinājumu projektu iesniegumu un projektu gaitas pārvaldībai mērķa finansējuma, grantu piešķīrumu u.c. programmās, kur notiek finansējuma sadale un uzraudzība projektu konkursu veidā.</t>
  </si>
  <si>
    <t>Projekta Nr.2.2.1.1/16/I/001 "Publiskās pārvaldes informācijas un komunikāciju tehnoloģiju arhitektūras pārvaldības sistēma (PIKTAPS)" uzturēšana</t>
  </si>
  <si>
    <t>7120 Valsts budžeta uzturēšanas izdevumu transferti no valsts pamatbudžeta uz valsts speciālo budžetu</t>
  </si>
  <si>
    <t>VSAA Informācijas servisu sistēma sūtījumu sūtīšanai un saņemšanai drošas elektroniskas piegādes risinājumā (DEPP)</t>
  </si>
  <si>
    <t>VDC VPVKAC informācijas sistēma (nodrošina VPVKAC tīkla darbību)</t>
  </si>
  <si>
    <t>VARAM/30.00.00_17 - Valsts budžeta finansējums pašvaldību publiskajās bibliotēkās bez maksas izmantot internetu un datoru</t>
  </si>
  <si>
    <t xml:space="preserve">Samazinot finansējumu pašvaldību publiskām bibliotēkām pastāv vairāki riski. Lielāks finansējuma samazinājums rezultēsies lielākā publisko pakalpojumu nepieejamībā Latvijas reģionos, kā arī palielinās administratīvo slogu daļai iedzīvotājiem, kas dzīvo ārpus pilsētām. Ņemot vērā iepriekš (pirms esošā priekšlikuma) budžetā plānoto samazinājumu, būs nepieciešams papildus neplānoti aizvērt virkni bibliotēku, kuru skaits vēl nav aplēsts (provizoriski, skaits ir aplēšams desmitos, tas var rezultēties masveida bibliotēku slēgšanā visā Latvijas teritorijā). Papildus finansējuma samazinājums (kas ir iekļauts esošajā priekšlikumā) var rezultēties lielākā aizverto bibliotēku skaitā, jo bez interneta pieslēguma faktiski nebūs iespējas nodrošināt bibliotēku darbību.  </t>
  </si>
  <si>
    <t>VARAM/30.00.00_6 - Publisko pakalpojumu pieejamības nodrošināšana saskaņā ar vienas pieturas aģentūras principiem (KAC)</t>
  </si>
  <si>
    <t xml:space="preserve">Samazinot finansējumu sniegto pakalpojumu skaits nepalielināsies (iespējams būs jāvērtē sniegtā pakalpojumu skaita samazināšana finansējuma samazinājuma dēļ). Finansējuma samazinājuma 2026. gadā VPVKAC tīkla tālāka faktiski nebūs iespējama finansējuma trūkuma dēļ.
Tas nozīmēs, ka arī MK 09.08.2023. rīkojumā Nr. 510 iekļautais Sociālekonomiskais ieguvums, kas izteikts kvantitatīvajos rādītājos, netiks sasniegts. Mainīsies kopējais projekta lietderīgums, nesastādot sākotnēji plānotos 60 944 165 EUR, jo šīs apjoms tika plānots prognozējot, ka VPVKAC skaits 2033. gadā sasniegs 592 apkalpošanas centrus. VPVKAC nebūs iespējas paplašināt arī sniegto pakalpojumu skaitu. Līdz ar finansējuma samazinājumu būs 315 VPKVAC, kas tiks atvērti līdz 2026. gada 1. ceturksnim. Līdz 2025. gada 1. jūnijā tika atvērti 235 VPVKAC. </t>
  </si>
  <si>
    <t>VARAM/30.00.00_2 - Valsts budžeta uzturēšanas izdevumu transferts LHEI ES Regulas “Par invazīvu svešzemju sugu introdukcijas un izplatīšanās profilaksi un pārvaldību” ieviešanas nodrošināšanai</t>
  </si>
  <si>
    <t>Nebūs iespējams veikt: invazīvu sugu ienākšanas un izplatības ceļu rīcības plāna izstrādi, pārskatīšanu;
pilnīgu  invazīvo sugu monitoringu,  tādejādi nenodrošinot  Regulas “Par invazīvu svešzemju sugu introdukcijas un izplatīšanās profilaksi un pārvaldību” noteiktās prasības.</t>
  </si>
  <si>
    <t>VARAM/30.00.00_44 - Latvijas pašvaldību vēlēto pārstāvju darbības nodrošināšana Eiropas Reģionu komitejā</t>
  </si>
  <si>
    <t>VARAM/30.00.00_8 - Pašvaldību darbības jomas paplašināta pārraudzība</t>
  </si>
  <si>
    <t>VARAM/30.00.00_54 - Atbalsta pasākums reemigrācijas veicināšanai "Reģionālās remigrācijas koordinators"</t>
  </si>
  <si>
    <t>VARAM/30.00.00_12 - Reģionālās attīstības atbalsta pasākums - infrastruktūras pielāgošana un uzturēšana</t>
  </si>
  <si>
    <t>2.2.1.1/21/I/002 - Atvieglojumu vienotās informācijas sistēmas un latvija.lv atvēršana komersantiem un valsts un pašvaldības vienoto klientu apkalpošanas centru attīstība - AVIS2 uzturēšana, VPKAC IS uzturēšana</t>
  </si>
  <si>
    <t xml:space="preserve">VDAA AVIS 2 - Atvieglojumu vienotās informācijas sistēma. Nodrošina iespēju veikt centralizētu atvieglojumu pārvaldību </t>
  </si>
  <si>
    <t>Venstpils digitālais centrs - VPVKAC informācijas sistēma. Nodrošina VPVKAC tīkla darbībai nepieciešamās pieteikumu vadības sistēmas funkcijas</t>
  </si>
  <si>
    <t>VARAM/30.00.00_47 - Projekta "Pašvaldību klientu informācijas pārvaldības risinājums" ietvaros izstrādāto risinājumu rezultātu uzturēšana</t>
  </si>
  <si>
    <t>Valsts budžeta finansējums projekta "Pašvaldību klientu informācijas pārvaldības risinājums" rezultātu uzturēšanai tika plānots tādu rezultātu uzturēšanai, kas saistīti ar valsts izveidotajiem IKT risinājumiem (tehniskiem pielāgojumiem kļūdu novēršanai un profilaktiskai uzturēšanai). Taču projekta pēcuzraudzības pārbaužu laikā tika konstatēts, ka samazinās projekta ietvaros izstrādātās PKIP platformas izmantošana pašvaldībās. Līdz ar to risinājuma uzturēšanai papildu valsts budžeta finansējums nav nepieciešams.</t>
  </si>
  <si>
    <t>VARAM/30.00.00_56 - Valsts IKT profesionalizācija - Valsts digitālā attīstība</t>
  </si>
  <si>
    <t>Izmaksu samazinājums var radīt risku, ka netiks izpildītas 14.07.2020. MK noteikumos Nr 445 " Kārtība, kādā iestādes ievieto informāciju internetā" noteiktās prasības par tīmekļvietņu un mobilo lietotņu vienkāršotās un padziļinātās izvērtēšanas noteikto apjomu. Vienlaikus netiks pilnā apmērā ievērots direktīvā "Eiropas Parlamenta un Padomes Direktīva (ES) 2016/2102 (2016. gada 26. oktobris) par publiskā sektora struktūru tīmekļvietņu un mobilo lietotņu piekļūstamību" noteiktais.</t>
  </si>
  <si>
    <t>VARAM/30.00.00_18 - Valsts A/S "Elektroniskie sakari"</t>
  </si>
  <si>
    <t>Risks – nevarēs tikt aprēķināta valsts nodeva par resursu izmantošanu.
Numerācijas datubāze nodrošina elektronisko sakaru komersantu izmantoto numerācijas resursu uzkaiti. 
Par numerācijas resursu izmantošanu maksājama valsts nodeva: Ministru kabineta 2022. gada 15.novembra noteikumu Nr. 714 “Noteikumi par numerācijas lietošanas tiesību ikgadējo valsts nodevu”.
“Elektroniskie Sakari” ik ceturksni iesniedz datus VID, kas aprēķina valsts nodevu par resursa izmantošanu (fiksētie numuri, mobilie numuri, numuri IoT, numuri M2M). Nodevu ieskaita valsts budžetā.
“Elektroniskie Sakari” izaicinājumi: - ar esošiem resursiem noturēt sasniegto VIS NDB kvalitātes, funkcionalitātes un drošības līmeni, kā arī attīstīt VIS NDB funkcionalitātes līmeni atbilstoši nozares prasību izmaiņām;
- būt gataviem pieaugošai VIS NDB noslodzei, kas saistīta  ar tehnoloģiju attīstību, IoT un M2M numerācijas izmantošanas iespējamo pieaugumu nākotnē;
- VIS NDB tehniskai uzturēšanai piesaistīt ārpakalpojumu sniedzēju atvēlētā finansējuma ietvaros (Pēdējos gados ir nācies saskarties ar šādām problēmām – 1) ierobežots pretendentu skaits un 2) iepirkumā nepiesakās neviens pretendents, jo prasības ir par augstu, bet līgumcenas robežas ir par zemu).
Numerācijas datubāze uzturēšana atbilstoši Elektronisko sakaru likuma 6. panta pirmās daļas 1. un 2. punktā, 66. panta trešajā un ceturtajā daļā un Ministru kabineta 2022. gada 15. novembra noteikumos Nr. 715 “Numerācijas pārvaldīšanas kārtība” noteiktajam.</t>
  </si>
  <si>
    <t>VARAM/31.00.00_7 - Atbalsts Latgales speciālās ekonomiskās zonas (SEZ) kapacitātei</t>
  </si>
  <si>
    <t>31.00.00 Atbalsts plānošanas reģioniem</t>
  </si>
  <si>
    <t xml:space="preserve"> Latgales speciālā ekonomiskā zona (SEZ) — Finansējuma samazinājums pasākuma „Nodrošināts uzņēmējdarbības atbalsts” apakšpasākumiem 1.1 „Stiprināta Latgales SEZ kapacitāte” un 2 „Paplašināt esošos Latgales SEZ atbalsta pasākumus” mazinās austrumu pierobežas konkurētspēju un uzņēmējdarbības dinamiku, samazinot jaunu darba vietu un investīciju piesaisti. Tas vājina arī drošības pozīcijas pierobežā, jo ekonomiska atpalicība palielina sociālekonomiskos riskus. Samazināmie rādītāji – Noslēgtie līgumi (bija 16) samazināms uz 10, Jaunizveidotās darba vietas (bija 70), samazināms uz 40.
Netiek sasniegts rādītājs Reģionālā IKP starpība 55% (2027.gadā).</t>
  </si>
  <si>
    <t>9720 Pārējie valsts budžeta transferti kapitālajiem izdevumiem valsts budžeta daļēji finansētām atvasinātajām publiskajām personām un budžeta nefinansētām iestādēm</t>
  </si>
  <si>
    <t>VARAM/31.00.00_13 - Atbalsts plānošanas reģioniem funkciju izpildei un darbības nodrošināšanai</t>
  </si>
  <si>
    <t>Samazinot finansējumu, reģioni vairs nespēs pilnā apjomā pildīt visas likumā noteiktās kompetences, tostarp
•	sniegt atzinumus par vietējā līmeņa ilgtermiņa attīstības stratēģiju un attīstības programmu atbilstību reģionālā līmeņa teritorijas attīstības plānošanas dokumentiem
•	izvērtēt vietējo pašvaldību un privātpersonu projektu pieteikumus reģionālās attīstības valsts atbalsta saņemšanai un sniegt par tiem atzinumus;
•	nodrošināt sadarbību gan pašvaldību starpā, gan starp plānošanas reģionu un nacionālā līmeņa institūcijām, īstenojot reģionālās attīstības atbalsta pasākumus.
Ņemot vērā minēto, nepastāv subsidiaritāte reģionālās politikas ieviešanai. Bez tam - Teritorijas attīstības plānošanas dokumenti ir pamats investīciju piesaistei. To vērtēšana un koordinācija ir būtisks priekšnoteikums investīcijām (saskaņā ar Reģionālās politikas pamatnostādnēm). Iztrūkstot šim posmam netiek sasniegts rādītājs Reģionālā IKP starpība 55% (2027.gadā).</t>
  </si>
  <si>
    <t>VARAM/31.00.00_14 - Atbalsta pasākums reemigrācijas veicināšanai "Reģionālās remigrācijas koordinators"</t>
  </si>
  <si>
    <t>Ievērojot finansējuma samazinājumu netiek sasniegts rādītājs Reģionālā IKP starpība 55%, kas noteikts Reģionālās politikas pamatnostādnēs (2027.gadā).</t>
  </si>
  <si>
    <t xml:space="preserve">Valsts informācijas sistēmas darbības nodrošināšana Latvijas prezidentūras ES Padomē vajadzībām </t>
  </si>
  <si>
    <t>32.00.00 Valsts digitālās attīstības politikas īstenošana</t>
  </si>
  <si>
    <t>Ņemot vērā budžeta samazinājumu 1 064 817 eiro apmērā, šobrīd nav iespējams īstenot plānotos sistēmu pilnveides pasākumus Valsts informācijas sistēmu savietotāja (VISS), Valsts pārvaldes pakalpojumu portāla Latvija.lv, Valsts vienotās ģeotelpiskās informācijas  portāla, Elektronisko iepirkumu sistēmas pilnveidei. Tomēr šie uzlabojumi ir būtiski nozarē nepieciešami, un to īstenošanai atbilstošs finansējums ir jāparedz valsts pamatbudžetā ilgtermiņā. Pašreiz tiek meklētas iespējas šo pasākumu finansēšanai no ārējiem avotiem, tostarp projektiem, taču tas nevar aizstāt stabilu un ilgtspējīgu budžeta finansējumu. 
Plānotās Valsts digitālās attīstības aģentūras (VDAA) reorganizācijas ietvaros ir paredzēts būtiski stiprināt digitālās pārvaldības un datu analītikas kapacitāti, tostarp attīstot kritiskās infrastruktūras sistēmas, kas nodrošina efektīvāku datu izmantošanu politikas plānošanā un lēmumu pieņemšanā. Šo mērķu sasniegšanai nepieciešamais finansējums ir stratēģiski nozīmīgs un nedrīkst tikt atlikts uz nenoteiktu laiku.</t>
  </si>
  <si>
    <t xml:space="preserve">Valsts informācijas un komunikācijas tehnoloģiju (IKT) pārvaldības organizatoriskā modeļa ieviešana </t>
  </si>
  <si>
    <t>Nr.3DP/3.2.2.1.1/09/IPIA/IUMEPLS/002 "Vienotā ģeotelpiskās informācijas portāla izveidošana un nozaru ĢIS sasaiste ar portālu" (ĢIS) uzturēšana</t>
  </si>
  <si>
    <t>Nr.3DP/3.2.2.1.1/09/IPIA/IUMEPLS/009 "Pašvaldību funkciju atbalsta sistēmas izveides 2.kārta"(PFAS2) uzturēšana</t>
  </si>
  <si>
    <t>Nr.3DP/3.2.2.1.1/09/IPIA/IUMEPLS/007 "Publiskās pārvaldes dokumentu pārvaldības sistēmu integrācijas vides izveide"(Edok) uzturēšana</t>
  </si>
  <si>
    <t>Nr.3DP/3.2.2.1.1/12/IPIA/CFLA/009 "Elektronisko iepirkumu sistēmas e-konkursu un e-izsoļu funkcionalitātes attīstība" uzturēšana</t>
  </si>
  <si>
    <t xml:space="preserve">Samazinājums skars komandējuma izdevumus un iestādes uzturēšanas kārtējos izdevumus.
Apsvērsim iespēju pārdot VARAM īpašumā ēku Pils ielā 17. </t>
  </si>
  <si>
    <t>22. Kultūras ministrija piedāvā samazinājumam kopā:</t>
  </si>
  <si>
    <t>Kultūras ministrijai nepieciešams samazināt:</t>
  </si>
  <si>
    <t>Kultūras ministrijai vēl jāsamazina:</t>
  </si>
  <si>
    <t>Mūzikas un mākslu vidusskolu pašu ieņēmumu kāpināšana pret valsts budžeta dotācijas apmēru</t>
  </si>
  <si>
    <t>20.00.00 Kultūrizglītība</t>
  </si>
  <si>
    <t>Muzeju pašu ieņēmumu kāpināšana pret valsts budžeta dotācijas apmēru</t>
  </si>
  <si>
    <t>21.00.00 Kultūras mantojums</t>
  </si>
  <si>
    <t>7470 Pārējie valsts budžeta uzturēšanas izdevumu transferti valsts budžeta daļēji finansētām atvasinātajām publiskajām personām un budžeta nefinansētām iestādēm</t>
  </si>
  <si>
    <t>Latvijas Nacionālās bibliotēkas un kultūras iestāžu pašu ieņēmumu kāpināšana pret valsts budžeta dotācijas apmēru</t>
  </si>
  <si>
    <t>Kapitālsabiedrību pašu ieņēmumu kāpināšana pret valsts budžeta dotācijas apmēru</t>
  </si>
  <si>
    <t>19.07.00 Mākslas un literatūra</t>
  </si>
  <si>
    <t>"K" ailē uzrādīts kopējais kapitālsabiedrību valsts budžeta dotācijas apmērs.</t>
  </si>
  <si>
    <t>29. Veselības ministrija piedāvā samazinājumam kopā:</t>
  </si>
  <si>
    <t>Veselības ministrijai nepieciešams samazināt:</t>
  </si>
  <si>
    <t>Veselības ministrijai vēl jāsamazina:</t>
  </si>
  <si>
    <t>Izdevumu samazinājums precēm un pakalpojumiem Paula Stradiņa Medicīnas vēstures muzejam</t>
  </si>
  <si>
    <t>06.02.00 Medicīnas vēstures muzejs</t>
  </si>
  <si>
    <t>Administratīvo izdevumu optimizācija</t>
  </si>
  <si>
    <t>Izdevumu samazinājums pamatlīdzekļu iegādei Paula Stradiņa Medicīnas vēstures muzejam</t>
  </si>
  <si>
    <t xml:space="preserve">5000 Pamatkapitāla veidošana </t>
  </si>
  <si>
    <t>Izdevumu samazinājums Valsts tiesu medicīnas ekspertīzes centram</t>
  </si>
  <si>
    <t>39.06.00 Tiesu medicīniskā ekspertīze</t>
  </si>
  <si>
    <t>Prioritārā pasākuma "Veselības aprūpes pakalpojumu pieejamības un kvalitātes uzlabošana" (2024-2026) apakšpasākuma "Valsts tiesu medicīnas ekspertīzes centra darbības nepārtrauktības nodrošināšana"  ietvaros paredzētais finansējums 208 155 euro</t>
  </si>
  <si>
    <t>Izdevumu samazinājums laboratoriskajam monitoringam Lavijas Antidopinga birojam</t>
  </si>
  <si>
    <t>39.07.00 Antidopinga politikas īstenošana</t>
  </si>
  <si>
    <t>Bez ietekmes uz Latvijas sportistu dalību starptautiskājas sacensībās, kā arī neapdraud Latvijas atbilstības statusu Pasaules Antidopinga aģentūras kodeksa izpratnē</t>
  </si>
  <si>
    <t>Izdevumu samazinājums laboratoriskajam monitoringam Veselības inspekcijai</t>
  </si>
  <si>
    <t>46.01.00 Uzraudzība un kontrole</t>
  </si>
  <si>
    <t>Izdevumu samazinājums precēm un pakalpojumiem Veselības inspekcijai</t>
  </si>
  <si>
    <t>Slimību profilakses un kontroles centra administratīvo izdevumu pārskatīšana</t>
  </si>
  <si>
    <t>46.03.00 Slimību profilakses nodrošināšana</t>
  </si>
  <si>
    <t xml:space="preserve">Slimību profilakses un kontroles centra un citu iestāžu konsultatīvo tālruņu optimizācija </t>
  </si>
  <si>
    <r>
      <t xml:space="preserve">Prioritārā pasākuma "Veselības aprūpes pakalpojumu pieejamības un kvalitātes uzlabošana" (2024-2026) apakšpasākuma "Profilakses pasākumu un veselības aprūpes pakalpojumu uzlabošanas plāna alkoholisko dzērienu un narkotisko vielu lietošanas izplatības mazināšanas jomā 2023.-2025.gadam" ietvaros paredzētais finansējums 57 606 </t>
    </r>
    <r>
      <rPr>
        <i/>
        <sz val="10"/>
        <rFont val="Times New Roman"/>
        <family val="1"/>
        <charset val="186"/>
      </rPr>
      <t>euro</t>
    </r>
    <r>
      <rPr>
        <sz val="10"/>
        <rFont val="Times New Roman"/>
        <family val="1"/>
      </rPr>
      <t xml:space="preserve"> atkarību konsultatīvā tālruņa izveidei</t>
    </r>
  </si>
  <si>
    <t>Izdevumu samazinājums pamatlīdzekļu iegādei Slimību profilakses un kontroles centram</t>
  </si>
  <si>
    <t>Veselības ministrijas administratīvo izdevumu pārskatīšana</t>
  </si>
  <si>
    <t>Nacionālā veselības dienesta un citu iestāžu konsultatīvo tālruņu optimizācija</t>
  </si>
  <si>
    <t>33.16.00 Primārās ambulatorās veselības aprūpes nodrošināšana</t>
  </si>
  <si>
    <r>
      <t xml:space="preserve">Prioritārā pasākuma "Pasākumi, lai samazinātu ilglaicīgu negatīvo ietekmi uz sabiedrības psihisko veselību, ko rada COVID-19 pandēmija" (2022-2024) ietvaros paredzētais finansējums 593 355 </t>
    </r>
    <r>
      <rPr>
        <i/>
        <sz val="10"/>
        <rFont val="Times New Roman"/>
        <family val="1"/>
        <charset val="186"/>
      </rPr>
      <t>euro</t>
    </r>
  </si>
  <si>
    <t>Nacionālā veselības dienesta administratīvo izdevumu pārskatīšana</t>
  </si>
  <si>
    <t>45.01.00 Veselības aprūpes finansējuma administrēšana un ekonomiskā novērtēšana</t>
  </si>
  <si>
    <t>Samazināti izdevumi pasākumam "Kvalitātes pakalpojuma uzlabošana"</t>
  </si>
  <si>
    <r>
      <t xml:space="preserve">Prioritārā pasākuma "Veselības aprūpes pakalpojumu pieejamības un kvalitātes uzlabošana" (2024-2026) apakšpasākuma "Informācijas komunikācijas tehnoloģiju un vienotās veselības nozares elektroniskās informācijas sistēmas (e-veselības) uzturēšana un nepārtrauktas darbības nodrošināšana" ietvaros paredzētais finansējums 383 328 </t>
    </r>
    <r>
      <rPr>
        <i/>
        <sz val="10"/>
        <rFont val="Times New Roman"/>
        <family val="1"/>
        <charset val="186"/>
      </rPr>
      <t>euro</t>
    </r>
    <r>
      <rPr>
        <sz val="10"/>
        <rFont val="Times New Roman"/>
        <family val="1"/>
      </rPr>
      <t xml:space="preserve"> kvalitātes pakalpojuma uzlabošanai</t>
    </r>
  </si>
  <si>
    <t xml:space="preserve">Administratīvo izdevumu optimizācija bez ietekmes uz pašreizējo veselības aprūpes pakalpojumu, kuri tiek sniegti iedzīvotājiem, apjomu un kvalitāti </t>
  </si>
  <si>
    <t>Samazināti izdevumi EVAK karšu nosūtīšanai pa pastu</t>
  </si>
  <si>
    <t>Tiek plānots pasta izdevumus iekļaut NVD maksas pakalpojumos. Bāzes finansējuma starpība tiks novirzīta IKT apmaksas rīka izveidei un uzturēšanai.</t>
  </si>
  <si>
    <t>Nacionālā veselības dienesta ar veselības aprūpes pakalpojumiem saistīto izdevumu optimizēšanas un pārskatīšanas apmaksas modeļa maiņa, bez ietekmes uz pašreizējo veselības aprūpes pakalpojumu, kuri tiek sniegti iedzīvotājiem, apjomu:
     Černobiļas AES avārijas seku likvidēšanas dalībnieku un Černobiļas AES avārijas rezultātā cietušo personu vienotās datubāzes uzturēšanai, Latvijas valsts arodslimnieku datu apkopošanai un organizatoriski metodiskā darba nodrošināšanai</t>
  </si>
  <si>
    <t>Pakalpojumi tiks optimizēti un pārskatīts apmaksas modelis. Metodisko līgumu ietvaros tiek nodrošināta samaksa par specifiskiem pakalpojumiem ar atšķirīgu finansēšanas mehānismu, lai nodrošinātu efektīvu resursu pārvaldību un novērstu iespējamu neskaidrību par maksājumiem pakalpojumu apmaksa turpmāk tiks veidota izmantojot VIS sistēmu, kas ļaus precīzi uzraudzīt finanšu plūsmu, uzlabos pārskatāmību un mazinās risku, ka par vieniem un tiem pašiem pakalpojumiem tiktu veikti dubulti maksājumi. Šāda pieeja sekmēs gan administratīvās efektivitātes paaugstināšanu, gan nodrošinās skaidru un caurskatāmu maksājumu veikšanu visām iesaistītajām pusēm.
Papildus tiek piedāvāts ar veselības aprūpes nodrošināšanu saistītos tiešos/netiešos izdevumus, kuri šobrīd tiek plānoti NVD budžeta apakšprogrammā 45.01.00 "Veselības aprūpes finansējuma administrēšana un ekonomiskā novērtēšana"  nepieciešams turpmāk plānot (veikt finansējuma pārdali) budžeta programmas 33.00.00 "Veselības aprūpes nodrošināšana" ietvaros, tās apaksšprogrammās, tādejādi korektāk un caurskatāmāk tiktu atspoguļots VM nozares budžets.</t>
  </si>
  <si>
    <t>NTKD (Transplantācijas dienests) operatīvā medicīniskā dienesta darbības administratīvo izdevumu un organizatoriski metodiskā darba nodrošināšanai</t>
  </si>
  <si>
    <t>Transplantācijas procesa attīstības Latvijā ietvaros speciālistu apmācību un komunikācijas izdevumiem</t>
  </si>
  <si>
    <r>
      <t xml:space="preserve">Prioritārā pasākuma "Veselības aprūpes pakalpojumu pieejamības un kvalitātes uzlabošana" (2024-2026) apakšpasākuma "Nodrošināt transplantācijas procesa attīstību Latvijā" ietvaros paredzētais finansējums 54 180 </t>
    </r>
    <r>
      <rPr>
        <i/>
        <sz val="10"/>
        <rFont val="Times New Roman"/>
        <family val="1"/>
        <charset val="186"/>
      </rPr>
      <t>euro</t>
    </r>
    <r>
      <rPr>
        <sz val="10"/>
        <rFont val="Times New Roman"/>
        <family val="1"/>
      </rPr>
      <t xml:space="preserve"> speciālistu apmācību un komunikācijas izdevumiem</t>
    </r>
  </si>
  <si>
    <t>Valsts pārvaldes uzdevumu IKT jomā nodrošināšanai</t>
  </si>
  <si>
    <r>
      <t xml:space="preserve">Prioritārā pasākuma "Veselības aprūpes pakalpojumu pieejamības un kvalitātes uzlabošana" (2024-2026) apakšpasākuma "SIA "Latvijas Digitālās veselības centrs", lai NVD reorganizācijas rezultātā nodrošinātu tai deleģētās valsts funkcijas"  ietvaros paredzētais finansējums 2 992 201 </t>
    </r>
    <r>
      <rPr>
        <i/>
        <sz val="10"/>
        <rFont val="Times New Roman"/>
        <family val="1"/>
        <charset val="186"/>
      </rPr>
      <t>euro</t>
    </r>
  </si>
  <si>
    <t>Veselības ministrijas un padotības iestažu atlīdzības fonda mazināšana</t>
  </si>
  <si>
    <t>39.03.00 Asins un asins komponentu nodrošināšana</t>
  </si>
  <si>
    <t>Finansējuma samazinājums augstākai izglītībai Rīgas Stradiņa universitāte</t>
  </si>
  <si>
    <t>02.03.00 Augstākā medicīnas izglītība</t>
  </si>
  <si>
    <t>74. resors "Gadskārtējā valsts budžeta izpildes procesā pārdalāmais finansējums" samazinājums kopā:</t>
  </si>
  <si>
    <t>74.resors</t>
  </si>
  <si>
    <t xml:space="preserve">Nesadalītais finansējums aproriācijas rezervei </t>
  </si>
  <si>
    <t>01.00.00 Apropriācijas rezerve</t>
  </si>
  <si>
    <t>Nesadalītais finansējums līdzekļiem neparedzētiem gadījumiem</t>
  </si>
  <si>
    <t>02.00.00 Līdzekļi neparedzētiem gadījumiem</t>
  </si>
  <si>
    <t>Nesadalītais finansējums Latvijas prezidentūras Eiropas Savienības Padomē nodrošināšanai</t>
  </si>
  <si>
    <t>04.00.00 Latvijas prezidentūras Eiropas Savienības Padomē nodrošināšana</t>
  </si>
  <si>
    <t>Frakciju priekšlikumi horizontālai izdevumu samazināšanai ministrijās un citās centrālajās valsts iestādēs, kā arī strukturālo reformu piedāvājumi</t>
  </si>
  <si>
    <t>Priekšlikums</t>
  </si>
  <si>
    <r>
      <t xml:space="preserve">Finansiālais novērtējums, </t>
    </r>
    <r>
      <rPr>
        <b/>
        <i/>
        <sz val="12"/>
        <color theme="1"/>
        <rFont val="Aptos Narrow"/>
        <family val="2"/>
        <scheme val="minor"/>
      </rPr>
      <t>eiro</t>
    </r>
    <r>
      <rPr>
        <b/>
        <sz val="12"/>
        <color theme="1"/>
        <rFont val="Aptos Narrow"/>
        <family val="2"/>
        <scheme val="minor"/>
      </rPr>
      <t>*</t>
    </r>
  </si>
  <si>
    <t xml:space="preserve">Komentārs </t>
  </si>
  <si>
    <t xml:space="preserve">partija “Jaunā Vienotība” </t>
  </si>
  <si>
    <t xml:space="preserve">1. </t>
  </si>
  <si>
    <t>Piemaksas</t>
  </si>
  <si>
    <r>
      <t xml:space="preserve">2024. gada izpilde EKK1141, 1143, 1144, 1145, 1146, 1147, 1149
</t>
    </r>
    <r>
      <rPr>
        <b/>
        <sz val="11"/>
        <color rgb="FFC00000"/>
        <rFont val="Aptos Narrow"/>
        <family val="2"/>
        <scheme val="minor"/>
      </rPr>
      <t>Priekšlikums samazinajumam 10%, 20%, 30%</t>
    </r>
  </si>
  <si>
    <t xml:space="preserve">2. </t>
  </si>
  <si>
    <t xml:space="preserve">Prēmijas </t>
  </si>
  <si>
    <r>
      <t xml:space="preserve">2024. gada izpilde EKK1148
</t>
    </r>
    <r>
      <rPr>
        <b/>
        <sz val="11"/>
        <color rgb="FFC00000"/>
        <rFont val="Aptos Narrow"/>
        <family val="2"/>
        <scheme val="minor"/>
      </rPr>
      <t>Priekšlikums samazinajumam 10%, 20%, 30%, 100%</t>
    </r>
  </si>
  <si>
    <t>3.</t>
  </si>
  <si>
    <t>Resoru centralizācija (ieprikumi, komunikācija, atbalsta pakalpojumi)</t>
  </si>
  <si>
    <t>4.</t>
  </si>
  <si>
    <t>Dienestu struktūra (VUGD, policija, NMPD utt.)</t>
  </si>
  <si>
    <t>Atbilstoši NMPD pievienošanai, ietaupījums neveidojas. Pakļaujas samazinājumam.</t>
  </si>
  <si>
    <t xml:space="preserve">5. </t>
  </si>
  <si>
    <t>Medicīna - AM + IeM</t>
  </si>
  <si>
    <t>IeM var izvērtēt medicīna spakalpojumu nodošanu VM.</t>
  </si>
  <si>
    <t>6.</t>
  </si>
  <si>
    <t>Standarti - EM + FM</t>
  </si>
  <si>
    <r>
      <t>Apvieno SIA "Latvijas standarts" bez Latvijas proves biroja.</t>
    </r>
    <r>
      <rPr>
        <sz val="11"/>
        <color theme="1"/>
        <rFont val="Aptos Narrow"/>
        <family val="2"/>
        <charset val="186"/>
        <scheme val="minor"/>
      </rPr>
      <t xml:space="preserve">
SIA "Latvijas standarts" (LVS) ir valsts kapitālsabiedrība, kuras 100% kapitāla daļu turētājs ir EM, 2026. gadam dotācija plānota 210 617 </t>
    </r>
    <r>
      <rPr>
        <i/>
        <sz val="11"/>
        <color theme="1"/>
        <rFont val="Aptos Narrow"/>
        <family val="2"/>
        <scheme val="minor"/>
      </rPr>
      <t>euro</t>
    </r>
    <r>
      <rPr>
        <sz val="11"/>
        <color theme="1"/>
        <rFont val="Aptos Narrow"/>
        <family val="2"/>
        <charset val="186"/>
        <scheme val="minor"/>
      </rPr>
      <t xml:space="preserve"> apmērā. 
SIA “Latvijas nacionālais metroloģijas centrs” (LNMC) ir valsts kapitālsabiedrība, kuras 100% kapitāla daļu turētājs ir EM, 2026.gadam dotācija plānota 151 300 </t>
    </r>
    <r>
      <rPr>
        <i/>
        <sz val="11"/>
        <color theme="1"/>
        <rFont val="Aptos Narrow"/>
        <family val="2"/>
        <scheme val="minor"/>
      </rPr>
      <t>euro</t>
    </r>
    <r>
      <rPr>
        <sz val="11"/>
        <color theme="1"/>
        <rFont val="Aptos Narrow"/>
        <family val="2"/>
        <charset val="186"/>
        <scheme val="minor"/>
      </rPr>
      <t xml:space="preserve"> apmērā.
SIA “Latvijas proves birojs” ir valsts kapitālsabiedrība, kuras 100% kapitāla daļu turētājs ir FM, 2026. gadam dotācija plānota 86 722 </t>
    </r>
    <r>
      <rPr>
        <i/>
        <sz val="11"/>
        <color theme="1"/>
        <rFont val="Aptos Narrow"/>
        <family val="2"/>
        <scheme val="minor"/>
      </rPr>
      <t>euro</t>
    </r>
    <r>
      <rPr>
        <sz val="11"/>
        <color theme="1"/>
        <rFont val="Aptos Narrow"/>
        <family val="2"/>
        <charset val="186"/>
        <scheme val="minor"/>
      </rPr>
      <t xml:space="preserve"> apmērā.
EM sagatavotajā KZ par mazo valsts kapitālsabiedrību apvienošanu un optimizāciju (25-TA-1284) ir norādīts, ka </t>
    </r>
    <r>
      <rPr>
        <b/>
        <sz val="11"/>
        <color theme="1"/>
        <rFont val="Aptos Narrow"/>
        <family val="2"/>
        <scheme val="minor"/>
      </rPr>
      <t>LNMC un LVS</t>
    </r>
    <r>
      <rPr>
        <sz val="11"/>
        <color theme="1"/>
        <rFont val="Aptos Narrow"/>
        <family val="2"/>
        <charset val="186"/>
        <scheme val="minor"/>
      </rPr>
      <t xml:space="preserve"> apvienošanas gadījumā finansiālais ieguvums ir robežās no 13 - 18%, kas nozīmētu, ka </t>
    </r>
    <r>
      <rPr>
        <b/>
        <sz val="11"/>
        <color rgb="FFC00000"/>
        <rFont val="Aptos Narrow"/>
        <family val="2"/>
        <scheme val="minor"/>
      </rPr>
      <t xml:space="preserve">apvienošanas ietvaros varētu ietaupīt 90 000 – 100 000 </t>
    </r>
    <r>
      <rPr>
        <b/>
        <i/>
        <sz val="11"/>
        <color rgb="FFC00000"/>
        <rFont val="Aptos Narrow"/>
        <family val="2"/>
        <scheme val="minor"/>
      </rPr>
      <t>euro</t>
    </r>
    <r>
      <rPr>
        <b/>
        <sz val="11"/>
        <color rgb="FFC00000"/>
        <rFont val="Aptos Narrow"/>
        <family val="2"/>
        <scheme val="minor"/>
      </rPr>
      <t>.</t>
    </r>
  </si>
  <si>
    <t>7.</t>
  </si>
  <si>
    <t>MI valsts pārvaldē</t>
  </si>
  <si>
    <t>8.</t>
  </si>
  <si>
    <t>Brīvdienas</t>
  </si>
  <si>
    <r>
      <t xml:space="preserve">Iepriekš izskanējušais fiskālais pieņēmums (~10-20 milj. </t>
    </r>
    <r>
      <rPr>
        <i/>
        <sz val="11"/>
        <color theme="1"/>
        <rFont val="Aptos Narrow"/>
        <family val="2"/>
        <scheme val="minor"/>
      </rPr>
      <t>euro</t>
    </r>
    <r>
      <rPr>
        <sz val="11"/>
        <color theme="1"/>
        <rFont val="Aptos Narrow"/>
        <family val="2"/>
        <charset val="186"/>
        <scheme val="minor"/>
      </rPr>
      <t>), kas bija veiktas pēc vienkāršota pieņēmuma, kur valsts nodokļu ieņēmumu kopsumma tika vienlīdzīgi pielīdzināta darbadienu skaitam gadā (~250 dienas) un attiecīgi mainot dienu skaitu aritmētiski guva aprēķina rezultātu.</t>
    </r>
  </si>
  <si>
    <t xml:space="preserve">9. </t>
  </si>
  <si>
    <t>Virsstundas</t>
  </si>
  <si>
    <r>
      <t xml:space="preserve">2024. gada izpilde EKK1142
</t>
    </r>
    <r>
      <rPr>
        <b/>
        <sz val="11"/>
        <color rgb="FFC00000"/>
        <rFont val="Aptos Narrow"/>
        <family val="2"/>
        <scheme val="minor"/>
      </rPr>
      <t>Priekšlikums samazinājumam 50%</t>
    </r>
  </si>
  <si>
    <t>10.</t>
  </si>
  <si>
    <t>Mērķēts atbalsts</t>
  </si>
  <si>
    <r>
      <t xml:space="preserve">EM budžeta programmā 29.02.00 “Elektroenerģijas lietotāju atbalsts” ir paredzēts finansējums </t>
    </r>
    <r>
      <rPr>
        <b/>
        <sz val="11"/>
        <color rgb="FFC00000"/>
        <rFont val="Aptos Narrow"/>
        <family val="2"/>
        <scheme val="minor"/>
      </rPr>
      <t xml:space="preserve">2026.gadā 23 616 074 </t>
    </r>
    <r>
      <rPr>
        <b/>
        <i/>
        <sz val="11"/>
        <color rgb="FFC00000"/>
        <rFont val="Aptos Narrow"/>
        <family val="2"/>
        <scheme val="minor"/>
      </rPr>
      <t xml:space="preserve">euro </t>
    </r>
    <r>
      <rPr>
        <b/>
        <sz val="11"/>
        <color rgb="FFC00000"/>
        <rFont val="Aptos Narrow"/>
        <family val="2"/>
        <scheme val="minor"/>
      </rPr>
      <t>apmērā elektroenerģijas lietotāju atbalstam.</t>
    </r>
    <r>
      <rPr>
        <sz val="11"/>
        <color theme="1"/>
        <rFont val="Aptos Narrow"/>
        <family val="2"/>
        <charset val="186"/>
        <scheme val="minor"/>
      </rPr>
      <t xml:space="preserve">
Šobrīd atbalsta apmērs:
3.1. trūcīgai vai maznodrošinātai mājsaimniecībai (personai) – 20 </t>
    </r>
    <r>
      <rPr>
        <i/>
        <sz val="11"/>
        <color theme="1"/>
        <rFont val="Aptos Narrow"/>
        <family val="2"/>
        <scheme val="minor"/>
      </rPr>
      <t>euro</t>
    </r>
    <r>
      <rPr>
        <sz val="11"/>
        <color theme="1"/>
        <rFont val="Aptos Narrow"/>
        <family val="2"/>
        <charset val="186"/>
        <scheme val="minor"/>
      </rPr>
      <t xml:space="preserve">;
3.2. ģimenei (personai), kuras aprūpē ir bērns ar invaliditāti, – 20 </t>
    </r>
    <r>
      <rPr>
        <i/>
        <sz val="11"/>
        <color theme="1"/>
        <rFont val="Aptos Narrow"/>
        <family val="2"/>
        <scheme val="minor"/>
      </rPr>
      <t>euro</t>
    </r>
    <r>
      <rPr>
        <sz val="11"/>
        <color theme="1"/>
        <rFont val="Aptos Narrow"/>
        <family val="2"/>
        <charset val="186"/>
        <scheme val="minor"/>
      </rPr>
      <t xml:space="preserve">;
3.3. personai ar I invaliditātes grupu vai tās aizgādnim – 20 </t>
    </r>
    <r>
      <rPr>
        <i/>
        <sz val="11"/>
        <color theme="1"/>
        <rFont val="Aptos Narrow"/>
        <family val="2"/>
        <scheme val="minor"/>
      </rPr>
      <t>euro</t>
    </r>
    <r>
      <rPr>
        <sz val="11"/>
        <color theme="1"/>
        <rFont val="Aptos Narrow"/>
        <family val="2"/>
        <charset val="186"/>
        <scheme val="minor"/>
      </rPr>
      <t>;
3.4. daudzbērnu ģimenei – 25 e</t>
    </r>
    <r>
      <rPr>
        <i/>
        <sz val="11"/>
        <color theme="1"/>
        <rFont val="Aptos Narrow"/>
        <family val="2"/>
        <scheme val="minor"/>
      </rPr>
      <t>uro</t>
    </r>
    <r>
      <rPr>
        <sz val="11"/>
        <color theme="1"/>
        <rFont val="Aptos Narrow"/>
        <family val="2"/>
        <charset val="186"/>
        <scheme val="minor"/>
      </rPr>
      <t>.</t>
    </r>
  </si>
  <si>
    <t>11.</t>
  </si>
  <si>
    <t>Nekustamie īpašumi</t>
  </si>
  <si>
    <t>Atdot VNĪ biroja ēkas. Nav tūlītējas ietekmes 2026. gadā.</t>
  </si>
  <si>
    <t>12.</t>
  </si>
  <si>
    <t>Par ko valstij nemaksāt?</t>
  </si>
  <si>
    <t>Nodokļu atvieglojumi. Nav tūlītējas tiešas ietekmes.</t>
  </si>
  <si>
    <t>partija “Zaļo un Zemnieku savienība”</t>
  </si>
  <si>
    <t>1.</t>
  </si>
  <si>
    <t>samazināt administratīvos izdevumus Saeimā par 50% (t.sk. auto, uc)</t>
  </si>
  <si>
    <t>2.</t>
  </si>
  <si>
    <t xml:space="preserve">atcelt Saeimas ēkas būvniecības ieceres </t>
  </si>
  <si>
    <r>
      <t xml:space="preserve">2026.gadam plānoti 1,5 milj. </t>
    </r>
    <r>
      <rPr>
        <i/>
        <sz val="11"/>
        <color theme="1"/>
        <rFont val="Aptos Narrow"/>
        <family val="2"/>
        <scheme val="minor"/>
      </rPr>
      <t>euro</t>
    </r>
    <r>
      <rPr>
        <sz val="11"/>
        <color theme="1"/>
        <rFont val="Aptos Narrow"/>
        <family val="2"/>
        <charset val="186"/>
        <scheme val="minor"/>
      </rPr>
      <t xml:space="preserve"> apmērā.</t>
    </r>
  </si>
  <si>
    <t xml:space="preserve">lemt par politisko partiju finansēšanas apjoma samazināšanu par 50% </t>
  </si>
  <si>
    <r>
      <t xml:space="preserve">Tā kā plānotais finansējums KNAB budžetā partiju finansēšanai 2026.gadam ir 7 407 748 </t>
    </r>
    <r>
      <rPr>
        <i/>
        <sz val="11"/>
        <color theme="1"/>
        <rFont val="Aptos Narrow"/>
        <family val="2"/>
        <scheme val="minor"/>
      </rPr>
      <t>euro</t>
    </r>
    <r>
      <rPr>
        <sz val="11"/>
        <color theme="1"/>
        <rFont val="Aptos Narrow"/>
        <family val="2"/>
        <charset val="186"/>
        <scheme val="minor"/>
      </rPr>
      <t xml:space="preserve">, tad samazinājums </t>
    </r>
    <r>
      <rPr>
        <b/>
        <sz val="11"/>
        <color rgb="FFC00000"/>
        <rFont val="Aptos Narrow"/>
        <family val="2"/>
        <scheme val="minor"/>
      </rPr>
      <t xml:space="preserve">50% apmērā būtu -  3 703 874 </t>
    </r>
    <r>
      <rPr>
        <b/>
        <i/>
        <sz val="11"/>
        <color rgb="FFC00000"/>
        <rFont val="Aptos Narrow"/>
        <family val="2"/>
        <scheme val="minor"/>
      </rPr>
      <t>euro.</t>
    </r>
  </si>
  <si>
    <t xml:space="preserve">izpildīt visus Valsts kontroles ieteikumus par finanšu ietaupījumus (lai ekonomētu laiku uz jaunām izvērtēšanām) – piemēram, attiecībā uz pieaugušo izglītību, integrāciju, NVO finansēšanu utt. </t>
  </si>
  <si>
    <t>Valsts kanceleja</t>
  </si>
  <si>
    <t>5.</t>
  </si>
  <si>
    <t>konsolidēt visas valsts pārvaldes funkcijas attiecībā uz administratīvajām funkcijām – grāmatvedība, personālvadība, komunikācija, nekustamo īpašumu apsaimniekošana (izvērtēt visus līdz šim pieņemtos plānus un stratēģijas ceļā uz mazu un efektīvu valsts pārvaldi)</t>
  </si>
  <si>
    <r>
      <t xml:space="preserve">Funkciju dublēšanās  -  pieaugušo izglītība, ja apmācības administrētu viena iestāde, tad apmēram par apmēram 7% samazinātos ar pasākuma nodrošināšanu saistītie kopējie administrēšanas izdevumi.  2022.gadā Valsts kontrole veica revīziju - “Valsts atbalsts pieaugušo izglītībai – valstisks vai personisks ieguvums”  (2019. – 2022.gads). Secinājums kopumā no Valsts kontroles revīzijas 2023.gada ziņojuma - NVA un VIAA funkcijas mācību plānošanā un organizēšanā pārklājas, un nav objektīvu šķēršļu šīs funkcijas veikt vienai iestādei. Saskaņā ar revidentu aplēsēm, ja mācības pieaugušajiem nodrošinātu tikai viena iestāde – NVA, kurai likumdevējs jau ir deleģējis darbu ar pieaugušajiem, kuriem bezdarba risks ir iestājies vai tāds tiek prognozēts, valsts būtu varējusi samazināt NVA un VIAA projektu administrēšanas un pakalpojumu izmaksas 4 gados par apmēram 3,6 milj. </t>
    </r>
    <r>
      <rPr>
        <i/>
        <sz val="11"/>
        <color theme="1"/>
        <rFont val="Aptos Narrow"/>
        <family val="2"/>
        <scheme val="minor"/>
      </rPr>
      <t>euro</t>
    </r>
    <r>
      <rPr>
        <sz val="11"/>
        <color theme="1"/>
        <rFont val="Aptos Narrow"/>
        <family val="2"/>
        <charset val="186"/>
        <scheme val="minor"/>
      </rPr>
      <t xml:space="preserve">. </t>
    </r>
  </si>
  <si>
    <r>
      <t>Izglītības un zinātnes ministrijas resorā (tostarp VIAA)</t>
    </r>
    <r>
      <rPr>
        <sz val="11"/>
        <color rgb="FFC00000"/>
        <rFont val="Aptos Narrow"/>
        <family val="2"/>
        <scheme val="minor"/>
      </rPr>
      <t xml:space="preserve"> </t>
    </r>
    <r>
      <rPr>
        <b/>
        <sz val="11"/>
        <color rgb="FFC00000"/>
        <rFont val="Aptos Narrow"/>
        <family val="2"/>
        <scheme val="minor"/>
      </rPr>
      <t>valsts budžeta finansējums</t>
    </r>
    <r>
      <rPr>
        <sz val="11"/>
        <color theme="1"/>
        <rFont val="Aptos Narrow"/>
        <family val="2"/>
        <charset val="186"/>
        <scheme val="minor"/>
      </rPr>
      <t xml:space="preserve"> pamatfunkciju blokā </t>
    </r>
    <r>
      <rPr>
        <u/>
        <sz val="11"/>
        <color theme="1"/>
        <rFont val="Aptos Narrow"/>
        <family val="2"/>
        <scheme val="minor"/>
      </rPr>
      <t xml:space="preserve">pieaugušo izglītībai, t.i., pieaugušo pārkvalifikācijai, jaunas kvalifikācijas vai prasmju pilnveidei </t>
    </r>
    <r>
      <rPr>
        <b/>
        <sz val="11"/>
        <color rgb="FFC00000"/>
        <rFont val="Aptos Narrow"/>
        <family val="2"/>
        <scheme val="minor"/>
      </rPr>
      <t>nav plānots</t>
    </r>
    <r>
      <rPr>
        <sz val="11"/>
        <color theme="1"/>
        <rFont val="Aptos Narrow"/>
        <family val="2"/>
        <charset val="186"/>
        <scheme val="minor"/>
      </rPr>
      <t>. Latvijā, valsts atbalsts pieaugušo izglītībai gandrīz pilnībā ir balstīts ES fondu projektu finansējumā.
2025. gada budžetā Nodarbinātības valsts aģentūras un Valsts izglītības attīstības aģentūras darbības nodrošināšanai</t>
    </r>
    <r>
      <rPr>
        <b/>
        <sz val="11"/>
        <color rgb="FFC00000"/>
        <rFont val="Aptos Narrow"/>
        <family val="2"/>
        <scheme val="minor"/>
      </rPr>
      <t xml:space="preserve"> (ietver visas aģentūru funkcijas, ne tikai darbu ar pieaugušo izglītības administrēšanu)</t>
    </r>
    <r>
      <rPr>
        <sz val="11"/>
        <color theme="1"/>
        <rFont val="Aptos Narrow"/>
        <family val="2"/>
        <charset val="186"/>
        <scheme val="minor"/>
      </rPr>
      <t xml:space="preserve"> kopā plānots finansējums 14,8 milj. </t>
    </r>
    <r>
      <rPr>
        <i/>
        <sz val="11"/>
        <color theme="1"/>
        <rFont val="Aptos Narrow"/>
        <family val="2"/>
        <scheme val="minor"/>
      </rPr>
      <t>euro</t>
    </r>
    <r>
      <rPr>
        <sz val="11"/>
        <color theme="1"/>
        <rFont val="Aptos Narrow"/>
        <family val="2"/>
        <charset val="186"/>
        <scheme val="minor"/>
      </rPr>
      <t xml:space="preserve"> apmērā.</t>
    </r>
  </si>
  <si>
    <t xml:space="preserve">Izdienas pensiju nosacījumu pārskatīšana (finanšu ietekme). </t>
  </si>
  <si>
    <t>Dabas aizsardzības pārvaldes apvienošana ar Valsts vides dienestu</t>
  </si>
  <si>
    <r>
      <t xml:space="preserve">Dabas aizsardzības pārvalde (DAP) ir VARAM padotības iestāde, Valsts vides dienests (VVD) ir KEM padotības iestāde. 2026.gadam dotācija DAP plānota 6 709 978 </t>
    </r>
    <r>
      <rPr>
        <i/>
        <sz val="11"/>
        <color theme="1"/>
        <rFont val="Aptos Narrow"/>
        <family val="2"/>
        <scheme val="minor"/>
      </rPr>
      <t>euro</t>
    </r>
    <r>
      <rPr>
        <sz val="11"/>
        <color theme="1"/>
        <rFont val="Aptos Narrow"/>
        <family val="2"/>
        <charset val="186"/>
        <scheme val="minor"/>
      </rPr>
      <t>, VVD - 10 199 445</t>
    </r>
    <r>
      <rPr>
        <i/>
        <sz val="11"/>
        <color theme="1"/>
        <rFont val="Aptos Narrow"/>
        <family val="2"/>
        <scheme val="minor"/>
      </rPr>
      <t xml:space="preserve"> euro</t>
    </r>
    <r>
      <rPr>
        <sz val="11"/>
        <color theme="1"/>
        <rFont val="Aptos Narrow"/>
        <family val="2"/>
        <charset val="186"/>
        <scheme val="minor"/>
      </rPr>
      <t>. Apvienošanas rezultātā iespējams var mazināt izmaksas uz vadības un atbalsta funkcijām, novērtējums par to jāsniedz VARAM un KEM.</t>
    </r>
  </si>
  <si>
    <t>9.</t>
  </si>
  <si>
    <t>Atbalsta funkcijas optimizācija. Pēc VARAM aprēķiniem, viņi sniedz 8975h (1,7 mil.EUR), ar 60 slodzēm. KEM redz iespēju šo organizēt ar 2-3 reizes mazāku cilvēku skaitu centralizējot atbalsta funkciju resora ietvarā.</t>
  </si>
  <si>
    <r>
      <t xml:space="preserve">FM nav datu, novērtējums </t>
    </r>
    <r>
      <rPr>
        <i/>
        <sz val="11"/>
        <color theme="1"/>
        <rFont val="Aptos Narrow"/>
        <family val="2"/>
        <scheme val="minor"/>
      </rPr>
      <t>euro</t>
    </r>
    <r>
      <rPr>
        <sz val="11"/>
        <color theme="1"/>
        <rFont val="Aptos Narrow"/>
        <family val="2"/>
        <charset val="186"/>
        <scheme val="minor"/>
      </rPr>
      <t xml:space="preserve"> izteiksmē par atbalsta funkciju jāsniedz VARAM.</t>
    </r>
  </si>
  <si>
    <t>Funkcionāla pārdale LVĢMC. Pēc funkcionālā audita veikšanas secināts I fāze – administratīvās funkcijas optimizēšana, laboratoriju nodošana BIOR, APUS datu sistēma nodošana VVD, Zebrenes poligons – PPP. II fāze – radiācija, ģeoloģijas, hidroloģija.</t>
  </si>
  <si>
    <r>
      <t xml:space="preserve">VSIA "LVĢMC" dotācija no KEM budžeta 2026.g. plānota 6 682 397 </t>
    </r>
    <r>
      <rPr>
        <i/>
        <sz val="11"/>
        <color theme="1"/>
        <rFont val="Aptos Narrow"/>
        <family val="2"/>
        <scheme val="minor"/>
      </rPr>
      <t>euro</t>
    </r>
    <r>
      <rPr>
        <sz val="11"/>
        <color theme="1"/>
        <rFont val="Aptos Narrow"/>
        <family val="2"/>
        <charset val="186"/>
        <scheme val="minor"/>
      </rPr>
      <t xml:space="preserve">, tā paredzēta attiecīgu deleģētu uzdevumu izpildei. LVĢMC kā kapitālsabiedrībai ir arī ieņēmumi no preču pārdošanas un pakalpojumu sniegšanas, kā arī finansējums projektu realizācijai. Administratīvās f-jas optimizēšana var arī nedot efektu dotācijas mazināšanā, kas paredzēta deleģēto f-ju izpildei. Laboratoriju nodošana BIOR vai APUS datu bāzes nodošana VVD būs jāvirza kopā ar finansējumu. </t>
    </r>
  </si>
  <si>
    <t>Vienots jaunu objektu attīstības process konsolidējot vides uzraudzības un būvuzraudzības funkciju (šobrīd būvvaldes funkciju veic 3 iestādes + pašvaldības)</t>
  </si>
  <si>
    <t>partija “Progresīvie”</t>
  </si>
  <si>
    <t>piemaksas, prēmijas, naudas balvas ministriju un pašvaldību darbiniekiem</t>
  </si>
  <si>
    <t>2024. gada izpilde EKK1141, 1142, 1143, 1144, 1145, 1146, 1147, 1148, 1149</t>
  </si>
  <si>
    <t>privātā veselības apdrošināšana ministriju un to pārraudzības iestāžu darbiniekiem</t>
  </si>
  <si>
    <t>2025. gada plāns EKK1227</t>
  </si>
  <si>
    <t>vēlēto amatpersonu atalgojuma sistēmas pārskatīšana (visticamāk, mazāka indeksācija)</t>
  </si>
  <si>
    <t>finansējums politiskajām partijām (visticamāk, iesaldēšana)</t>
  </si>
  <si>
    <r>
      <t xml:space="preserve">Tā kā plānotais finansējums KNAB budžetā partiju finansēšanai 2026.gadam ir 7 407 748 </t>
    </r>
    <r>
      <rPr>
        <i/>
        <sz val="11"/>
        <color theme="1"/>
        <rFont val="Aptos Narrow"/>
        <family val="2"/>
        <scheme val="minor"/>
      </rPr>
      <t>euro</t>
    </r>
    <r>
      <rPr>
        <sz val="11"/>
        <color theme="1"/>
        <rFont val="Aptos Narrow"/>
        <family val="2"/>
        <charset val="186"/>
        <scheme val="minor"/>
      </rPr>
      <t xml:space="preserve">, tad samazinājums </t>
    </r>
    <r>
      <rPr>
        <b/>
        <sz val="11"/>
        <color rgb="FFC00000"/>
        <rFont val="Aptos Narrow"/>
        <family val="2"/>
        <scheme val="minor"/>
      </rPr>
      <t xml:space="preserve">50% apmērā būtu -  3 703 874 </t>
    </r>
    <r>
      <rPr>
        <b/>
        <i/>
        <sz val="11"/>
        <color rgb="FFC00000"/>
        <rFont val="Aptos Narrow"/>
        <family val="2"/>
        <scheme val="minor"/>
      </rPr>
      <t>euro</t>
    </r>
    <r>
      <rPr>
        <sz val="11"/>
        <color rgb="FFC00000"/>
        <rFont val="Aptos Narrow"/>
        <family val="2"/>
        <scheme val="minor"/>
      </rPr>
      <t>.</t>
    </r>
  </si>
  <si>
    <t>investīciju budžeta samazināšana LVM (šobrīd – 80 M gadā)</t>
  </si>
  <si>
    <t>Informāciju jāpieprasa Zemkopības ministrijai. Jāņem arī vērā, ka AS “Latvijas valsts meži” nav vispārējās valdības sektoram pieklasificēta kapitālsabiedrība.
AS "Latvijas valsts meži" investīciju budžeta samazināšana tiešā veidā nerada ietekmi uz vispārējās valdības budžeta bilanci. Ietekmi uz vispārējās valdības budžeta bilanci veido AS "Latvijas valsts meži" iemaksāto dividenžu apjoms. Taču norādām, ka Eiropas Kontu sistēmas metodoloģijā par vispārējās valdības budžeta ieņēmumiem atzīstamas tikai tās dividendes, kas gūtas no saimnieciskās darbības. Centrālā statistikas pārvalde veic "superdividenžu" testu, lai pārliecinātos, ka valsts budžetā saņemtās dividendes izmaksātas no peļņas, kas gūta no kapitālsabiedrības saimnieciskās darbības. Peļņa un attiecīgi valsts budžetā iemaksātās dividendes, kas gūtas no aktīvu realizācijas un citiem ar saimniecisko darbību tieši nesaistītiem pasākumiem, var tikt neatzītas par vispārējās valdības budžeta ieņēmumiem. 
Papildus norādām, ka Eiropas Komisija dividendes, kas pieaugušas ņemot vērā labākas makroekonomiskās prognozes vai veiksmīgāku uzņēmuma saimniecisko darbību, vairs neuzskata par diskrecionārajiem ieņēmumiem, kā rezultātā šādas dividendes pilnā apjomā var nepalielināt fiskālo telpu (atkarīgs no dominējošā fiskālā nosacījuma).</t>
  </si>
  <si>
    <t>ministru reprezentācijas izdevumi 20% apmērā</t>
  </si>
  <si>
    <t>2025. gada valsts budžetā ministru reprezentācijas izdevumiem plānots finansējums 0,3 milj. eiro apmērā.</t>
  </si>
  <si>
    <t>pieaugošu izglītības efektivizēšana (NVA un VIAA)</t>
  </si>
  <si>
    <r>
      <t>Izglītības un zinātnes ministrijas resorā (tostarp VIAA)</t>
    </r>
    <r>
      <rPr>
        <sz val="11"/>
        <color rgb="FFC00000"/>
        <rFont val="Aptos Narrow"/>
        <family val="2"/>
        <scheme val="minor"/>
      </rPr>
      <t xml:space="preserve"> </t>
    </r>
    <r>
      <rPr>
        <b/>
        <sz val="11"/>
        <color rgb="FFC00000"/>
        <rFont val="Aptos Narrow"/>
        <family val="2"/>
        <scheme val="minor"/>
      </rPr>
      <t>valsts budžeta finansējums</t>
    </r>
    <r>
      <rPr>
        <sz val="11"/>
        <color rgb="FFC00000"/>
        <rFont val="Aptos Narrow"/>
        <family val="2"/>
        <scheme val="minor"/>
      </rPr>
      <t xml:space="preserve"> </t>
    </r>
    <r>
      <rPr>
        <sz val="11"/>
        <color theme="1"/>
        <rFont val="Aptos Narrow"/>
        <family val="2"/>
        <charset val="186"/>
        <scheme val="minor"/>
      </rPr>
      <t xml:space="preserve">pamatfunkciju blokā </t>
    </r>
    <r>
      <rPr>
        <u/>
        <sz val="11"/>
        <color theme="1"/>
        <rFont val="Aptos Narrow"/>
        <family val="2"/>
        <scheme val="minor"/>
      </rPr>
      <t xml:space="preserve">pieaugušo izglītībai, t.i., pieaugušo pārkvalifikācijai, jaunas kvalifikācijas vai prasmju pilnveidei </t>
    </r>
    <r>
      <rPr>
        <b/>
        <sz val="11"/>
        <color rgb="FFC00000"/>
        <rFont val="Aptos Narrow"/>
        <family val="2"/>
        <scheme val="minor"/>
      </rPr>
      <t>nav plānots</t>
    </r>
    <r>
      <rPr>
        <sz val="11"/>
        <color theme="1"/>
        <rFont val="Aptos Narrow"/>
        <family val="2"/>
        <charset val="186"/>
        <scheme val="minor"/>
      </rPr>
      <t>. Latvijā, valsts atbalsts pieaugušo izglītībai gandrīz pilnībā ir balstīts ES fondu projektu finansējumā.
2025. gada budžetā Nodarbinātības valsts aģentūras un Valsts izglītības attīstības aģentūras darbības nodrošināšanai</t>
    </r>
    <r>
      <rPr>
        <sz val="11"/>
        <color rgb="FFFF0000"/>
        <rFont val="Aptos Narrow"/>
        <family val="2"/>
        <scheme val="minor"/>
      </rPr>
      <t xml:space="preserve"> </t>
    </r>
    <r>
      <rPr>
        <b/>
        <sz val="11"/>
        <color rgb="FFC00000"/>
        <rFont val="Aptos Narrow"/>
        <family val="2"/>
        <scheme val="minor"/>
      </rPr>
      <t>(ietver visas aģentūru funkcijas, ne tikai darbu ar pieaugušo izglītības administrēšanu)</t>
    </r>
    <r>
      <rPr>
        <sz val="11"/>
        <color theme="1"/>
        <rFont val="Aptos Narrow"/>
        <family val="2"/>
        <charset val="186"/>
        <scheme val="minor"/>
      </rPr>
      <t xml:space="preserve"> kopā plānots finansējums 14,8 milj. </t>
    </r>
    <r>
      <rPr>
        <i/>
        <sz val="11"/>
        <color theme="1"/>
        <rFont val="Aptos Narrow"/>
        <family val="2"/>
        <scheme val="minor"/>
      </rPr>
      <t>euro</t>
    </r>
    <r>
      <rPr>
        <sz val="11"/>
        <color theme="1"/>
        <rFont val="Aptos Narrow"/>
        <family val="2"/>
        <charset val="186"/>
        <scheme val="minor"/>
      </rPr>
      <t xml:space="preserve"> apmērā.</t>
    </r>
  </si>
  <si>
    <t>Valsts tehniskās uzraudzības biroja pievienošana CSDD</t>
  </si>
  <si>
    <r>
      <t xml:space="preserve">Valsts tehniskās uzraudzības aģentūra (VTUA) pamatā finansējas no sniegtajiem maksas pakalpojumu un citiem pašu ieņēmumiem un to atlikumiem (96%), attiecīgi ar pievienošanu CSDD potenciāli iespējams samazināt izdevumus, kas tiek finansēti no dotācijas. Saskaņā ar valsts budžeta tāmēm uz 2025. gada 3. jūniju VTUA izdevumi 2025. gadam (gan 21.01.00, gan 21.02.00 apakšprogrammā) plānoti 4,2 milj. </t>
    </r>
    <r>
      <rPr>
        <i/>
        <sz val="11"/>
        <color theme="1"/>
        <rFont val="Aptos Narrow"/>
        <family val="2"/>
        <scheme val="minor"/>
      </rPr>
      <t>euro</t>
    </r>
    <r>
      <rPr>
        <sz val="11"/>
        <color theme="1"/>
        <rFont val="Aptos Narrow"/>
        <family val="2"/>
        <charset val="186"/>
        <scheme val="minor"/>
      </rPr>
      <t xml:space="preserve">, no tiem 0,2 milj. </t>
    </r>
    <r>
      <rPr>
        <i/>
        <sz val="11"/>
        <color theme="1"/>
        <rFont val="Aptos Narrow"/>
        <family val="2"/>
        <scheme val="minor"/>
      </rPr>
      <t>euro</t>
    </r>
    <r>
      <rPr>
        <sz val="11"/>
        <color theme="1"/>
        <rFont val="Aptos Narrow"/>
        <family val="2"/>
        <charset val="186"/>
        <scheme val="minor"/>
      </rPr>
      <t xml:space="preserve"> plānots segt no dotācijas, kas arī aptuveni varētu būt potenciālais ieguvums no pievienošanas (protams, attiecībā uz 2026. gada apmēru jāsaņem detalizētāka informācija no Zemkopības ministrijas).</t>
    </r>
  </si>
  <si>
    <t>komunikācijas funkciju centralizēšana ministrijās</t>
  </si>
  <si>
    <t>Amata vietas 312; Amata slodzes 306,5</t>
  </si>
  <si>
    <t>administratīvo naudas sodu izpildes centralizācija</t>
  </si>
  <si>
    <t>Valsts kontroles ziņojums “Administratīvo naudas sodu izpilde” Administratīvo naudas sodu izpilde | Valsts Kontrole</t>
  </si>
  <si>
    <t>* Indikatīvais samazinājums var mainīties atkarībā no ministriju iesniegtajiem priekšlikumiem izdevumu samazinājumam 150,0 milj. eiro apmērā</t>
  </si>
  <si>
    <t>Piedāvājumi samazinājumiem atlīdzībai</t>
  </si>
  <si>
    <t xml:space="preserve">piezīmes, komentāri </t>
  </si>
  <si>
    <t xml:space="preserve">kas jādara papildus </t>
  </si>
  <si>
    <t xml:space="preserve">1.alternatīva </t>
  </si>
  <si>
    <t xml:space="preserve">iesaldēt algu pieaugumu Saeimas ieceltām un vēlētām amatpersonām. Bāzes alga laika periodam 2026. - 2028. paliek 2025.gada apmērā </t>
  </si>
  <si>
    <t xml:space="preserve">ietver arī tiesnešus un prokurorus </t>
  </si>
  <si>
    <t xml:space="preserve">Atbrīvojas paredzētie līdzekļi atlīdzības palielināšanai tiešās valsts pārvaldes iestādēm  (horizontālā prioritāte) </t>
  </si>
  <si>
    <t>šobrīd jau ir ielikts budžeta bāzē vidējam termiņam</t>
  </si>
  <si>
    <t xml:space="preserve">Atteikties no reprezentācijas izdevumiem valsts augstākajām amatpersonām un MK locekļiem </t>
  </si>
  <si>
    <t xml:space="preserve">jāgroza Atlīdzības likums, ja tiek pieņemts atteikties pilnībā vai arī norma budžeta likumā, ja atsakās uz noteiktu laiku </t>
  </si>
  <si>
    <t>nepaaugstināt minimālo algu2026.g. , tā paliek 2025.gada apmērā (740 eyro)</t>
  </si>
  <si>
    <t>nepaaugstināt minimālo algu2027.g. , tā paliek 2025.gada apmērā (740 eyro)</t>
  </si>
  <si>
    <t xml:space="preserve">aprēķinš kopā ar necelšanu 2026.gadam </t>
  </si>
  <si>
    <t>nepaaugstināt minimālo algu2028.g. , tā paliek 2025.gada apmērā (740 eyro)</t>
  </si>
  <si>
    <t xml:space="preserve">aprēķinš kopā ar necelšanu 2026.un 2027.g.gadam </t>
  </si>
  <si>
    <t xml:space="preserve">Kopējā fiskālā ietekme </t>
  </si>
  <si>
    <t xml:space="preserve">2.alternatīva </t>
  </si>
  <si>
    <t>izmantoti dati par visu 2024.gadu, pamatā skars IeM amatpersonas ar spec. dien.pakāpēm un NMPD</t>
  </si>
  <si>
    <t xml:space="preserve">jāgroza normatīvie akti </t>
  </si>
  <si>
    <t xml:space="preserve">3.alternatīva </t>
  </si>
  <si>
    <t xml:space="preserve">iesaldēt naudas balvu, atsakoties no tādas uz laika periodu no 2026. - 2028.gadam </t>
  </si>
  <si>
    <t>izmantoti dati par 2024.gadu</t>
  </si>
  <si>
    <t>jāgroza normatīvie akti - budžeta likums, jo terminēts uz noteiktu laiku</t>
  </si>
  <si>
    <t xml:space="preserve">iesaldēt piemaksu "par nozīmīgu ieguldījumu attiecīgās institūcijas stratēģisko mērķu sasniegšanā" uz 2026. - 2028.g. </t>
  </si>
  <si>
    <t xml:space="preserve">4.alternatīva </t>
  </si>
  <si>
    <t>izmantoti dati par 2024.gadu (neapmieirnoši 10; jāpilnveido 131; labi - 5989; ļoti labi 9159; teicami 2439 = kopā 17719)</t>
  </si>
  <si>
    <t xml:space="preserve">5.alternatīva </t>
  </si>
  <si>
    <r>
      <t xml:space="preserve">vakanto amatu likvidācija </t>
    </r>
    <r>
      <rPr>
        <b/>
        <sz val="11"/>
        <color theme="1"/>
        <rFont val="Times New Roman"/>
        <family val="1"/>
        <charset val="186"/>
      </rPr>
      <t>6 mēneši un vairāk, bet iestādei atstājot atlikušajiem nodarbinātajiem 30% no summas mēnešalgai</t>
    </r>
  </si>
  <si>
    <t>tikai tiešās valsts pārvaldes iestādes (nav ietvertas neatkarīgās iestādes) un  attiecināms tikai uz pamatbudžetu - pēc 2025.gada datiem - mēnešalga pēc skalas min</t>
  </si>
  <si>
    <t xml:space="preserve">iestādēm ir jāpārskata savas īstneojamās funkcijas, nepieciešamības gadījumā grozot nolikumus vai arī citus normatīvos aktus </t>
  </si>
  <si>
    <t xml:space="preserve">6.alternatīva </t>
  </si>
  <si>
    <r>
      <t>vakanto amatu likvidācija 3</t>
    </r>
    <r>
      <rPr>
        <b/>
        <sz val="11"/>
        <color theme="1"/>
        <rFont val="Times New Roman"/>
        <family val="1"/>
        <charset val="186"/>
      </rPr>
      <t xml:space="preserve"> mēneši un vairāk, bet iestādei atstājot atlikušajiem nodarbinātajiem 40% no summas mēnešalgai</t>
    </r>
  </si>
  <si>
    <t xml:space="preserve">7.alternatīva </t>
  </si>
  <si>
    <t>Pakāpeniska atlīdzības fondu izlīdzināšana (tiek samazināts atlīdzības fonds resoriem, kur tas ir lielāks par šobrīd valsts budžeta iestādēs sasniegto faktisko līmeni, izmantpojot sekojošu shēmu: vidējā darba samaska faktiski ir 96% pret skalas viduspunktu (apr 2025), piedāvājums veikt samazinājumu, ņemot vērā resora datus: līdz 89,99% - samaz 0%; 90-95,99% - samaz 1%; 96-99,99% - samaz 2%; 100 % un vairāk- samaizn - 3%)</t>
  </si>
  <si>
    <r>
      <t xml:space="preserve">izmsntoti 2024.gada, </t>
    </r>
    <r>
      <rPr>
        <b/>
        <sz val="11"/>
        <color rgb="FFFF0000"/>
        <rFont val="Times New Roman"/>
        <family val="1"/>
        <charset val="186"/>
      </rPr>
      <t xml:space="preserve">bet vēl nepieciešams precizēt aprēkinus. </t>
    </r>
  </si>
  <si>
    <t xml:space="preserve">tiek ieviesti arī Valsts kontroles ieteikumi, kuri noteica nepieciešamību izlīdzināt esošos atlīdzības fondus. Bus nepieciešams MK lēmums par mēnešalgas apmēru pret skalas viduspunktu u.tml./ </t>
  </si>
  <si>
    <t xml:space="preserve">Ieviešanai iespējas: </t>
  </si>
  <si>
    <r>
      <t>Bāzes scenārjs: (</t>
    </r>
    <r>
      <rPr>
        <b/>
        <sz val="11"/>
        <color theme="1"/>
        <rFont val="Times New Roman"/>
        <family val="1"/>
        <charset val="186"/>
      </rPr>
      <t xml:space="preserve">1.alternatīva) </t>
    </r>
  </si>
  <si>
    <t>Bāzes scenārijs + virsstundas (1+2.alternat)</t>
  </si>
  <si>
    <t xml:space="preserve">Bāzes scenārijs + virsstundas + iesaldēta naudas balva </t>
  </si>
  <si>
    <t>Novērtējums</t>
  </si>
  <si>
    <t>Ietaupījums indikatīvi</t>
  </si>
  <si>
    <t xml:space="preserve"> Priekšlikums samazinājumam uz  50% virsstundu piemaksām  (2024.gada izpilde  -33’692’682);</t>
  </si>
  <si>
    <t>114101 Piemaksa par nakts darbu</t>
  </si>
  <si>
    <t>114201 Samaksa par darbu svētku dienās</t>
  </si>
  <si>
    <t>114202 Samaksa par virsstundu darbu</t>
  </si>
  <si>
    <t>Iespējams atteikties no:         </t>
  </si>
  <si>
    <t>a) naudas balvas līdz 100%</t>
  </si>
  <si>
    <t>b) piemaksas par personisko darba ieguldījumu un mērķu sasniegšanu</t>
  </si>
  <si>
    <t>c)novērtējuma prēmijas vai mainīt uz 65/55/45</t>
  </si>
  <si>
    <t xml:space="preserve">Piemaksu samazinājums 10%, 20%, 30%, 100% </t>
  </si>
  <si>
    <t>114906 Piemaksa par nozīmīgu ieguldījumu attiecīgās institūcijas stratēģisko mērķu sasniegšanā</t>
  </si>
  <si>
    <t>114301 Piemaksa par speciālo dienesta pakāpi</t>
  </si>
  <si>
    <t>114302 Piemaksa par diplomātisko rangu</t>
  </si>
  <si>
    <t>114401 Piemaksa par izdienu</t>
  </si>
  <si>
    <t>114402 Piemaksa par darba stāžu ārstniecības jomā</t>
  </si>
  <si>
    <t>114501 Piemaksa par dienestu (darbu), kas saistīts ar īpašu risku</t>
  </si>
  <si>
    <t>114502 Piemaksa par dienesta pienākumu pildīšanu kopā ar dienesta suni vai dienesta zirgu</t>
  </si>
  <si>
    <t>114503 Piemaksa pedagogiem valsts ģimnāzijās un profesionālās izglītības kompetences centros</t>
  </si>
  <si>
    <t>114509 Piemaksa par dežūras dienām Augstākās tiesas priekšsēdētājam vai viņa īpaši pilnvarotiem Augstākās tiesas tiesnešiem par sevišķā veidā veicamo operatīvās darbības pasākumu un kredītiestāžu rīcībā esošo neizpaužamo ziņu pieprasījumu akceptēšanu</t>
  </si>
  <si>
    <t>114510 Piemaksa par dežūras dienām prokuroram</t>
  </si>
  <si>
    <t>114511 Piemaksa tiesnesim par darbu nedēļas atpūtas laikā vai svētku dienā saskaņā ar izmeklēšanas tiesnešu darba grafiku</t>
  </si>
  <si>
    <t>114512 Piemaksa pedagogam par kvalitātes pakāpi</t>
  </si>
  <si>
    <t>114515 Piemaksa Iekšlietu ministrijas sistēmas iestāžu un Ieslodzījuma vietu pārvaldes amatpersonām, kuras pilda ar IT un sakaru jomu saistītus dienesta pienākumus, tai skaitā kibernoziegumu apkarošanas jomā</t>
  </si>
  <si>
    <t>114516 Piemaksa amatpersonām un karavīriem, kuri veic zemūdens darbus</t>
  </si>
  <si>
    <t>114522 Piemaksa karavīram, kurš sniedz atbalstu, organizējot apmācības vai piedalās apmācību vadībā, sniedz atbalstu kopējo militāro mācību organizēšanā Latvijas Republikas teritorijā vai ārvalstīs.</t>
  </si>
  <si>
    <t>114523 Piemaksa par robežkontroles mobilitāti un stiprināšanu</t>
  </si>
  <si>
    <t>114524 Piemaksa par Tieslietu padomes, Tiesnešu disciplinārkolēģijas, Disciplinārtiesas, Tiesnešu ētikas komisijas vai Tiesnešu kvalifikācijas kolēģijas apmeklēto sēdi</t>
  </si>
  <si>
    <t>114701 Piemaksa par prombūtnē esošas amatpersonas (darbinieka) aizvietošanu</t>
  </si>
  <si>
    <t>114702 Piemaksa par vakanta amata (ārstniecības personai un prokuroram, kurš stažējas augstāka līmeņa prokurora amatā) pienākumu pildīšanu</t>
  </si>
  <si>
    <t>114703 Piemaksa par papildu pienākumu pildīšanu</t>
  </si>
  <si>
    <t>114704 Piemaksa par papildu pedagoģisko darbu izglītības iestādē</t>
  </si>
  <si>
    <t>114705 Piemaksa par procesuālo darbību veikšanu liela apjoma vai juridiski sarežģītās smagu vai sevišķi smagu noziegumu lietās</t>
  </si>
  <si>
    <t>114706 Piemaksa par tiesas priekšsēdētāja, tiesu nama priekšsēdētāja, apgabaltiesas priekšsēdētāja vietnieka, Augstākās tiesas departamenta priekšsēdētāja aizstāšanu</t>
  </si>
  <si>
    <t>Prēmiju samazinājums 10%, 20%, 30%, 100%</t>
  </si>
  <si>
    <t>114801 Prēmija atbilstoši ikgadējam darba izpildes novērtējumam</t>
  </si>
  <si>
    <t>114804 Naudas balva</t>
  </si>
  <si>
    <t>114805 Prēmija par valsts drošības apdraudējuma vai nozieguma novēršanu vai atklāšanu, kas radījis vai varēja radīt būtisku kaitējumu</t>
  </si>
  <si>
    <t>114806 Prēmija amatpersonai (darbiniekam) par ieguldījumu ēnu ekonomikas apkarošanā un godīgas konkurences veicināšanā</t>
  </si>
  <si>
    <t>114809 Prēmija VID un Noziedzīgi iegūtu līdzekļu legalizāc. novērš.dienesta amatpers.(darbin.) par atklātiem un novērstiem noziedz.nodarīj. valsts ieņēmumu un nodokļu admin.jomā, aizturētām kontrabandas kravām un novērstu noziedzīgi iegūtu līdzekļu legali</t>
  </si>
  <si>
    <t>Column Labels</t>
  </si>
  <si>
    <t>26</t>
  </si>
  <si>
    <t xml:space="preserve">Iestāde </t>
  </si>
  <si>
    <t>Amatu skaits</t>
  </si>
  <si>
    <t xml:space="preserve">Amatu slodzes </t>
  </si>
  <si>
    <t>Ministrija</t>
  </si>
  <si>
    <t>AIM</t>
  </si>
  <si>
    <t>AiM</t>
  </si>
  <si>
    <t>IZM</t>
  </si>
  <si>
    <t>Jaunsardzes centrs</t>
  </si>
  <si>
    <t>MK</t>
  </si>
  <si>
    <t>Latvijas Kara muzejs</t>
  </si>
  <si>
    <t>ĀM</t>
  </si>
  <si>
    <t>Nacionālie bruņotie spēki</t>
  </si>
  <si>
    <t>FM</t>
  </si>
  <si>
    <t>Pulkveža Oskara Kalpaka profesionālā vidusskola</t>
  </si>
  <si>
    <t>KEM</t>
  </si>
  <si>
    <t>Valsts aizsardzības loģistikas un iepirkuma centrs</t>
  </si>
  <si>
    <t>SM</t>
  </si>
  <si>
    <t>AM</t>
  </si>
  <si>
    <t>VARAM</t>
  </si>
  <si>
    <t>VM</t>
  </si>
  <si>
    <t>Citas</t>
  </si>
  <si>
    <t>IeM</t>
  </si>
  <si>
    <t>LM</t>
  </si>
  <si>
    <t>EM</t>
  </si>
  <si>
    <t>ZM</t>
  </si>
  <si>
    <t>Būvniecības valsts kontroles birojs</t>
  </si>
  <si>
    <t>KNAB</t>
  </si>
  <si>
    <t>Centrālā statistikas pārvalde</t>
  </si>
  <si>
    <t>KM</t>
  </si>
  <si>
    <t>Konkurences padome</t>
  </si>
  <si>
    <t>TM</t>
  </si>
  <si>
    <t>Latvijas Investīciju un attīstības aģentūra</t>
  </si>
  <si>
    <t>Latvijas Nacionālais akreditācijas birojs</t>
  </si>
  <si>
    <t>Patērētāju tiesību aizsardzības centrs</t>
  </si>
  <si>
    <t>Centrālā finanšu un līgumu aģentūra</t>
  </si>
  <si>
    <t>Iepirkumu uzraudzības birojs</t>
  </si>
  <si>
    <t>Valsts ieņēmumu dienests</t>
  </si>
  <si>
    <t>Valsts kase</t>
  </si>
  <si>
    <t>IEM</t>
  </si>
  <si>
    <t>Iekšējās drošības birojs</t>
  </si>
  <si>
    <t>LR IeM Valsts policija</t>
  </si>
  <si>
    <t>Nodrošinājuma valsts aģentūra</t>
  </si>
  <si>
    <t>Pilsonības un migrācijas lietu pārvalde</t>
  </si>
  <si>
    <t>Valsts robežsardze</t>
  </si>
  <si>
    <t>Valsts robežsardzes koledža</t>
  </si>
  <si>
    <t>Valsts ugunsdzēsības un glābšanas dienests</t>
  </si>
  <si>
    <t>Izglītības kvalitātes valsts dienests</t>
  </si>
  <si>
    <t>Jaunatnes starptautisko programmu aģentūra</t>
  </si>
  <si>
    <t>Jelgavas tehnikums</t>
  </si>
  <si>
    <t>Kandavas Lauksaimniecības tehnikums</t>
  </si>
  <si>
    <t>Latvijas Zinātnes padome</t>
  </si>
  <si>
    <t>Liepājas Valsts tehnikums</t>
  </si>
  <si>
    <t>Rīgas Būvniecības koledža</t>
  </si>
  <si>
    <t>Rīgas Valsts tehnikums</t>
  </si>
  <si>
    <t>Smiltenes tehnikums</t>
  </si>
  <si>
    <t>Valmieras tehnikums</t>
  </si>
  <si>
    <t>Valsts izglītības attīstības aģentūra</t>
  </si>
  <si>
    <t>Ventspils tehnikums</t>
  </si>
  <si>
    <t>Vidzemes tehnoloģiju un dizaina tehnikums</t>
  </si>
  <si>
    <t>Enerģētikas un vides aģentūra</t>
  </si>
  <si>
    <t>Valsts vides dienests</t>
  </si>
  <si>
    <t>Jāzepa Mediņa Rīgas mūzikas vidusskola</t>
  </si>
  <si>
    <t>Latgales Mūzikas un mākslas vidusskola</t>
  </si>
  <si>
    <t>Latvijas Etnogrāfiskais brīvdabas muzejs</t>
  </si>
  <si>
    <t>Latvijas Nacionālais arhīvs</t>
  </si>
  <si>
    <t>Latvijas Nacionālais kultūras centrs</t>
  </si>
  <si>
    <t>Latvijas Nacionālais mākslas muzejs</t>
  </si>
  <si>
    <t>Latvijas Nacionālais rakstniecības un mūzikas muzejs</t>
  </si>
  <si>
    <t>Latvijas Nacionālais vēstures muzejs</t>
  </si>
  <si>
    <t>Latvijas Nacionālā bibliotēka</t>
  </si>
  <si>
    <t>Liepājas Mūzikas, mākslas un dizaina vidusskola</t>
  </si>
  <si>
    <t>Memoriālo muzeju apvienība</t>
  </si>
  <si>
    <t>Nacionālais kino centrs</t>
  </si>
  <si>
    <t>Nacionālā kultūras mantojuma pārvalde</t>
  </si>
  <si>
    <t>Rīgas vēstures un kuģniecības muzejs</t>
  </si>
  <si>
    <t>Valsts kultūrkapitāla fonds</t>
  </si>
  <si>
    <t>Bērnu aizsardzības centrs</t>
  </si>
  <si>
    <t>Nodarbinātības valsts aģentūra</t>
  </si>
  <si>
    <t>Sociālās integrācijas valsts aģentūra</t>
  </si>
  <si>
    <t>Valsts sociālās apdrošināšanas aģentūra</t>
  </si>
  <si>
    <t>VSAC Latgale</t>
  </si>
  <si>
    <t>VSAC Rīga</t>
  </si>
  <si>
    <t>VSAC Zemgale</t>
  </si>
  <si>
    <t>Valsts administrācijas skola</t>
  </si>
  <si>
    <t>SAM</t>
  </si>
  <si>
    <t>Datu valsts inspekcija</t>
  </si>
  <si>
    <t>Ieslodzījuma vietu pārvalde</t>
  </si>
  <si>
    <t>Maksātnespējas kontroles dienests</t>
  </si>
  <si>
    <t>Patentu valde</t>
  </si>
  <si>
    <t>Tiesu administrācija</t>
  </si>
  <si>
    <t>Uzņēmumu reģistrs</t>
  </si>
  <si>
    <t>Valsts probācijas dienests</t>
  </si>
  <si>
    <t>Valsts valodas centrs</t>
  </si>
  <si>
    <t>Valsts zemes dienests</t>
  </si>
  <si>
    <t>Dabas aizsardzības pārvalde</t>
  </si>
  <si>
    <t>Latvijas Dabas muzejs</t>
  </si>
  <si>
    <t>Latvijas Nacionālais botāniskais dārzs</t>
  </si>
  <si>
    <t>Valsts digitālās attīstības aģentūra</t>
  </si>
  <si>
    <t>Nacionālais veselības dienests</t>
  </si>
  <si>
    <t>Neatliekamās medicīniskās palīdzības dienests</t>
  </si>
  <si>
    <t>Paula Stradiņa Medicīnas vēstures muzejs</t>
  </si>
  <si>
    <t>Slimību profilakses un kontroles centrs</t>
  </si>
  <si>
    <t>Valsts asinsdonoru centrs</t>
  </si>
  <si>
    <t>Valsts tiesu medicīnas ekspertīzes centrs</t>
  </si>
  <si>
    <t>Veselības inspekcija</t>
  </si>
  <si>
    <t>Zāļu valsts aģentūra</t>
  </si>
  <si>
    <t>Lauku atbalsta dienests</t>
  </si>
  <si>
    <t>Pārtikas un veterinārais dienests</t>
  </si>
  <si>
    <t>Valsts augu aizsardzības dienests</t>
  </si>
  <si>
    <t>Valsts meža dienests</t>
  </si>
  <si>
    <t>Valsts tehniskās uzraudzības aģentūra</t>
  </si>
  <si>
    <t>Grand Total</t>
  </si>
  <si>
    <t>Samaksas veids</t>
  </si>
  <si>
    <t>Kopā</t>
  </si>
  <si>
    <t>Citas (SIF, KNAB)</t>
  </si>
  <si>
    <t>N</t>
  </si>
  <si>
    <t>111001 Atlīdzība par darba piespiedu kavējumu</t>
  </si>
  <si>
    <t>111002 Atlīdzība par mazāk apmaksāta darba veikšanu</t>
  </si>
  <si>
    <t>111003 Tirgus koeficients (koeficients) naudas izteiksmē</t>
  </si>
  <si>
    <t>114517 Piemaksa jūras vai gaisa kuģa apkalpes loceklim vai karavīram, kurš dienesta pienākumus pilda uz militārā kuģa jūrā</t>
  </si>
  <si>
    <t>114518 Piemaksa par improvizētās spridzināšanas ierīces vai nesprāgušas munīcijas neitralizēšanu</t>
  </si>
  <si>
    <t>114519 Piemaksa sapierim, kurš veic atmīnēšanas darbus</t>
  </si>
  <si>
    <t>114520 Piemaksa karavīram, kurš veic amatpersonu personīgo apsardzi vai godasardzi</t>
  </si>
  <si>
    <t>114521 Piemaksa speciālo uzdevumu vienības karavīram</t>
  </si>
  <si>
    <t>114525 Piemaksa par noteiktu funkciju un uzdevumu izpildi</t>
  </si>
  <si>
    <t>114803 Prēmija par drošsirdīgu un pašaizliedzīgu rīcību, veicot amata (darba, dienesta) pienākumus</t>
  </si>
  <si>
    <t>114807 Prēmija Valsts kases amatpersonai (darbiniekam) par ieguldījumu valsts budžeta izdevumu samazināšanā, nodrošinot efektīvu valsts parāda vadību</t>
  </si>
  <si>
    <t>114808 Prēmija amatpersonai (darbiniekam) par darbību, kuras rezultātā ir nodrošināta valsts vai pašvaldību budžeta izdevumu samazināšana vai uzlaboti attiecīgās institūcijas darbības izpildes rādītāji</t>
  </si>
  <si>
    <t>114904 Piemaksa karavīram par augstākas dienesta pakāpes amata pildīšanu</t>
  </si>
  <si>
    <t>114905 Piemaksa par dalību starptautiskajā misijā vai operācijā</t>
  </si>
  <si>
    <t>122101 Atlaišanas pabalsts</t>
  </si>
  <si>
    <t>122102 Atvaļināšanas pabalsts</t>
  </si>
  <si>
    <t>122103 Atvaļinājuma pabalsts</t>
  </si>
  <si>
    <t>122106 Izdienas pabalsts</t>
  </si>
  <si>
    <t>122107 Pabalsts sakarā ar ģimenes locekļa vai apgādājamā nāvi (pabalsta summa lielāka par 500 euro)</t>
  </si>
  <si>
    <t>122108 Pārcelšanās pabalsts</t>
  </si>
  <si>
    <t>122109 Pabalsts amatpersonai (darbiniekam) par katru apgādībā esošu bērnu invalīdu līdz 18 gadu vecumam</t>
  </si>
  <si>
    <t>122112 Kompensācija par sabiedriskā transporta izdevumiem(daļai, kas apliekama ar nodokli) vai personīgā transportlīdzekļa izmantošanu amata pienākumu izpildei (kompensācijas summa lielāka par 57 euro mēnesī, izņemot izdevumus par patērēto degvielu)</t>
  </si>
  <si>
    <t>122301 Kompensācija mācību izdevumu segšanai</t>
  </si>
  <si>
    <t>122302 Amatpersonas (karavīra) mācību izdevumu segšana</t>
  </si>
  <si>
    <t>122401 Pabalsts mājsaimniecības inventāra iegādei, pārceļoties uz dienesta vietu ārvalstī</t>
  </si>
  <si>
    <t>122402 Pabalsts ārvalstī dienošai amatpersonai (darbiniekam) dienesta vajadzībām izmantojamā transporta izdevumu segšanai</t>
  </si>
  <si>
    <t>122403 Algas pabalsts par dienestu ārvalstī; pabalsts ārvalstī dienošai amatpersonai (darbiniekam) par laulātā un bērna uzturēšanos ārvalstī</t>
  </si>
  <si>
    <t>122404 Piemaksa ārvalstī dienošai amatpersonai (darbiniekam) par apdraudējumu dienesta vietā</t>
  </si>
  <si>
    <t>122501 Uzturdevas kompensācija</t>
  </si>
  <si>
    <t>122601 Dienesta pienākumu izpildei nepieciešamā apģērba iegādes kompensācija</t>
  </si>
  <si>
    <t>122701 Izdevumu kompensācija par veselības apdrošināšanu, apdrošināšanu pret nelaimes gadījumiem ārvalstī dienošai amatpersonai (darbiniekam) un viņas ģimenes locekļiem</t>
  </si>
  <si>
    <t>122702 Veselības apdrošināšana</t>
  </si>
  <si>
    <t>122703 Apdrošināšana pret nelaimes gadījumiem</t>
  </si>
  <si>
    <t>122704 Valsts obligātā dzīvības un veselības apdrošināšana</t>
  </si>
  <si>
    <t>122705 Valsts prezidenta un viņa laulātā veselības apdrošināšana</t>
  </si>
  <si>
    <t>122801 Pabalsts sakarā ar ģimenes locekļa vai apgādājamā nāvi (pabalsta summa līdz 500 euro (ieskaitot))</t>
  </si>
  <si>
    <t>122802 Pabalsts ievainojuma, sakropļojuma vai citāda veselības bojājuma gadījumā, kas gūts, pildot amata(dienesta, darba) pienākumus, kā arī amatpersonai ar speciālo dienesta pakāpi, ja tā cietusi nelaimes gadījumā, bet nav pildījusi dienesta (amata) pien</t>
  </si>
  <si>
    <t>122805 Pabalsts amatpersonas (darbinieka) ievainojuma, sakropļojuma vai citāda ar dalību starptautiskajā operācijā saistīta vai komandējumā uz starptautiskās operācijas rajonu gūta veselības bojājuma gadījumā</t>
  </si>
  <si>
    <t>122806 Kompensācija par dzīvojamās telpas īri un komunālajiem maksājumiem, izdevumiem, kas saistīti ar attālinātā darba veikšanu</t>
  </si>
  <si>
    <t>122807 Amatpersonas (darbinieka) vai viņas ģimenes locekļu mantai nodarīto zaudējumu kompensācija vai ģimenes locekļu veselībai nodarītā kaitējuma atlīdzināšana (sakarā ar amatpersonas dienesta pienākumu izpildi)</t>
  </si>
  <si>
    <t>122808 Optisko redzes korekcijas līdzekļu iegādes kompensācija</t>
  </si>
  <si>
    <t>122810 Transporta un dzīvojamās telpas īres izdevumu kompensācija Saeimas deputātam</t>
  </si>
  <si>
    <t>122811 Kompensācija par sabiedriskā transporta izdevumiem vai personīgā transportlīdzekļa izmantošanu amata (dienesta, darba) pienākumu izpildei (kompensācijas summa līdz 57 euro mēnesī (ieskaitot), izņemot izdevumus par patērēto degvielu)</t>
  </si>
  <si>
    <t>122812 Pārcelšanās izdevumu kompensācija</t>
  </si>
  <si>
    <t>122813 Kompensācija par nestrādājošu laulāto</t>
  </si>
  <si>
    <t>122815 Veselības aprūpes pakalpojumu izdevumu kompensācija</t>
  </si>
  <si>
    <t>122816 Valsts prezidenta, Saeimas priekšsēdētāja, Ministru prezidenta, ministru, Satversmes tiesas priekšsēdētāja un Augstākās tiesas priekšsēdētāja reprezentācijas izdevumu kompensācija</t>
  </si>
  <si>
    <t>114602 Piemaksa par personisko darba ieguldījumu un darba kvalitāti</t>
  </si>
  <si>
    <t>114903 Piemaksa par darba kvalitāti</t>
  </si>
  <si>
    <t>114901 Piemaksa par amata pienākumu pildīšanu kapitālsabiedrībā</t>
  </si>
  <si>
    <t>122105 Pabalsts sakarā ar bērna piedzimšanu</t>
  </si>
  <si>
    <t>114504 Izdienas piemaksa tiesnesim</t>
  </si>
  <si>
    <t>122111 Pabalsts amatpersonas (darbinieka) nāves gadījumā</t>
  </si>
  <si>
    <t>122906 Pabalsts amatpersonas (darbinieka) nāves gadījumā</t>
  </si>
  <si>
    <t>Fonds</t>
  </si>
  <si>
    <t>Budžeta apakšprogramma</t>
  </si>
  <si>
    <t>2026.gada bāzes finansējums</t>
  </si>
  <si>
    <t>Ministrijas piedāvātais samazinājums</t>
  </si>
  <si>
    <t>Atlikums</t>
  </si>
  <si>
    <t>Komentārs par normatīvo regulējumu</t>
  </si>
  <si>
    <t>Samazinājums</t>
  </si>
  <si>
    <t>Latvijas vides aizsardzības fonds</t>
  </si>
  <si>
    <t>21.02.00 "Vides aizsardzības projekti"
21.13.00 "Nozares vides projekti"</t>
  </si>
  <si>
    <t>Latvijas vides aizsardzības fonda likums. Mazinot izdevumus vai iesaldējot fonda darbību, jāgroza minētā likuma 5.pants.</t>
  </si>
  <si>
    <t>24.02.00 "Valsts atbalsta pasākumi meža nozarē"</t>
  </si>
  <si>
    <t>Meža likuma 43.panta trešā daļa</t>
  </si>
  <si>
    <t>Medību saimniecības attīstības fonda līdzekļi netieši saistīti ar nenodokļu ieņēmumiem, kas noteikti Medību likuma 31.panta otrajā daļā.</t>
  </si>
  <si>
    <t>25.02.00 "Zivju fonds"</t>
  </si>
  <si>
    <t>Zivju fonda līdzekļi netieši saistīti ar nenodokļu ieņēmumiem, kas noteikti Zvejniecības likuma 28.panta otrajā daļā.</t>
  </si>
  <si>
    <t xml:space="preserve">2025.gads plāns </t>
  </si>
  <si>
    <t>2026.gads</t>
  </si>
  <si>
    <t>2027.gads</t>
  </si>
  <si>
    <t>2028.gads</t>
  </si>
  <si>
    <t>IIN 100%</t>
  </si>
  <si>
    <t>IIN 78% (vidējā termiņa likums)</t>
  </si>
  <si>
    <t xml:space="preserve">Plānotie ieņēmumi pašvaldībām </t>
  </si>
  <si>
    <t>IIN 78% (2025.g. plāns, 2026.-2028g. prognoze uz 03.03.2025.)</t>
  </si>
  <si>
    <t>IIN izmaiņas</t>
  </si>
  <si>
    <t>Kompensācija pašvaldībām nodokļu izmaiņu ietekmes mazināšanai, milj.eiro</t>
  </si>
  <si>
    <t>Precizētā kompensācija</t>
  </si>
  <si>
    <t>Pārskatīta pētījuma veikšana Analītiskajam dienestam Atbilstoši piešķirtā finansējuma mērķim, katru gadu Analītiskais dienests finansē tiesību aktu ex-post ietekmes izvērtējumu sagatavošanu, lai noskaidrotu, vai tiesību akti sasniedz noteiktos mērķus un kādu ietekmi atstāj uz mērķa grupām. Izvērtējumu rezultātā tiek sagatavoti priekšlikumi tieību aktu satura vai piemērošanas prakses pilnveidošanai. Izvērtējumu veikšanā Valsts kanceleja sadarbojas ar nozaru ministrijām un ārpakalpojumu sniedzējiem. 2026. un turpmākajos gados ik gadu plānots atbalstīt 3 tiesību aktu ietekmes izvērtējumus. Finansējuma samazinājums neietekmēs pasākuma mērķu sasniegšanu.</t>
  </si>
  <si>
    <t>Pārskatīta multimodāla agrīnās intervences programmas STOP 4-7 intervenču grupu bērniem, to vecākiem un pedagogiem vadīšana un metodiskā vadība. Pakalpojuma STOP 4-7 intervenču grupu darbība ar valsts budžeta izmaksu samazināšanu netiktu ietekmēta, jo finansējumu minētajam pasākumam 2026-2028. gada ir iespējams pārcelt un pakalpojumus īstenot no ES fondu SAM 4.3.6.7. “Starpnozaru sadarbības un atbalsta sistēmas izveide bērnu veselīgais attīstībai un sekmīgai pašrealizācijai” programmas aktivitātēm,  tās pārskatot visa perioda griezumā.</t>
  </si>
  <si>
    <t>Pārskatītas lietotāju apmācības 16 275 euro un licenču izmaksas 3 670 euro apmērā.Par lietotāju apmācībām: Plānojam, ka apmācības nosegsim ar AF projekta naudu, veidosim apmācību video, kā arī identificēsim, kuri varētu būt iekšējie treneri/lektori, kas mācītos AF projekta ietvaros, lai varētu apmācīt nākotnē darbā ar sistēmu tos resorus, kas pievienosies pēc AF projekta beigām. Par licenču izmaksām: Sistēmas licenču izmaksas/ uzturēšanas izmaksas aktualizējām atbilstoši iesniegtajam finanšu piedāvājumam iepirkumā. Saņemtajā piedāvājumā uzturēšanai paredzētas zemākas izmaksas. Šis gan paver ļoti lielu risku projektam, jo iepirkums vēl nav noslēdzies. Ja netiek noslēgts līgums ar piegādātāju, kas iesniedz šo piedāvājumu, tad licenču izmaksas var palielināties.</t>
  </si>
  <si>
    <t>Ņemot vērā, ka 2 amata vietas tika pārceltas uz VDAA, pārskatīta atlīdzība plānotajām amata vietām. 2026 gadā 1 amata vieta, no 2027 gada 4 amata vietas</t>
  </si>
  <si>
    <t>Komandējuma izdevumi</t>
  </si>
  <si>
    <t>Strukturālās reformas - 9 amata vietas</t>
  </si>
  <si>
    <t>Samazināti komandējuma izdevumi</t>
  </si>
  <si>
    <t xml:space="preserve">Administratīvo izdevumu samazinājums </t>
  </si>
  <si>
    <t>Izdevumu samazinājums aviācijas drošības, glābšanas un civilmilitārās sadarbības nodrošināšanai</t>
  </si>
  <si>
    <t>44.00.00 Līdzekļi aviācijas drošības, glābšanas un civilmilitārās sadarbības nodrošināšanai</t>
  </si>
  <si>
    <t>Apsardzes pakalpojumu apmaksa Zaķu salas krastmala 1</t>
  </si>
  <si>
    <t>Alternatīvās degvielas infrastruktūras izveidošana un attīstība</t>
  </si>
  <si>
    <t>06.00.00 Alternatīvās degvielas infrastruktūras izveidošana, attīstība un uzturēšana</t>
  </si>
  <si>
    <t>VAS "Latvijas autoceļu uzturētājs" akciju kotēšana biržā</t>
  </si>
  <si>
    <t xml:space="preserve">(24-TA-2939 (IP)) Informatīvais ziņojums "Par tehnoloģiskās infrastruktūras uz valsts ārējās sauszemes robežas izbūves turpināšanu, šim mērķim nepieciešamo finansējumu un tehnoloģiskās infrastruktūras uzturēšanu pēc tās izbūves pabeigšanas" </t>
  </si>
  <si>
    <t>Izmaksu apmēra optimizācija</t>
  </si>
  <si>
    <t>Nav SM budžetā, iesaistītās puses - LVRTC un IEM</t>
  </si>
  <si>
    <t>LM, šobrīd sagatavojot speciālā budžeta bāzes izdevumus 2026.-2029.gadam, ņemot vērā aktuālāko iepriekšējo periodu izdevumu un statistikas datu izpildes tendences, kā arī uz FM makroekonomisko rādītāju un valsts sociālās apdrošināšanas obligāto iemaksu bāzes prognozēm aktualizēto pensiju iemaksu algu un indeksācijas koeficientiem,  ir radusi samazināt izdevumus sociāla rakstura maksājumiem un kompensācijām EKK6212 invaliditātes pensijām kopumā 2026.gadā 22,4 milj. euro apmērā (no 352,2 milj. euro  Ietvara likumā līdz 329,8 milj. euro bāzes prognozēs), 2027. gadā 22,2 milj. euro apmērā (no 382,0 milj. euro  Ietvara likumā līdz 359,9 milj. euro bāzes prognozēs), 2028. gadā 21,4 milj. euro apmērā (no 413,3 milj. euro 2026.-2028.gada apstiprinātās budžeta bāzes prognozes 2028.gadam līdz 392,1 milj. euro bāzes prognozēs).</t>
  </si>
  <si>
    <t>Samazinājums 3% no atlīdzības fonda (neskaitot veselības apdrošināšanas polises nozarei),  galvenokārt Valsts un pašvaldību institūciju amatpersonu un darbinieku atlīdzības likumā noteikto sociālo garantiju nodrošināšanai  (novērtēšanas prēmijām, atvaļinājuma pabalstiem)</t>
  </si>
  <si>
    <t>Samazinājums 3% no atlīdzības fonda, galvenokārt Valsts un pašvaldību institūciju amatpersonu un darbinieku atlīdzības likumā noteikto sociālo garantiju nodrošināšanai  (novērtēšanas prēmijām, atvaļinājuma pabalstiem)</t>
  </si>
  <si>
    <t>Izdevumi iestādes darbības nodrošināšanai (telpu uzturēšanai, t.sk. komunālajiem pakalpojumiem, kosmētiskajiem remontdarbiem u.c.,) iestādes darbības nodrošināšanas izdevumu segšanai piesaistot lielāku daļu ESF Plus projektu īstenošanai piešķirto netiešo izmaksu finansējumu)</t>
  </si>
  <si>
    <t>Iinformācijas sistēmu uzturēšanai (pilnveidošanai), daļēji IT sistēmas (Burvis) pilnveidošanu veicot no ESF Plus projekta "Nodarbinātības valsts aģentūras veiktspējas stiprināšana"</t>
  </si>
  <si>
    <t>LM, šobrīd sagatavojot pamatbudžeta budžeta bāzes izdevumus 2026.-2029.gadam, ņemot vērā aktuālāko iepriekšējo periodu izdevumu un statistikas datu izpildes tendences, kā arī uz FM makroekonomisko rādītāju un valsts sociālās apdrošināšanas obligāto iemaksu bāzes prognozēm aktualizēto pensiju iemaksu algu un indeksācijas koeficientiem, ir radusi iespēju samazināt izdevumus sociāla rakstura maksājumiem un kompensācijām EKK6216 izdienas pensijām kopumā 2026.gadā 0,9 milj. euro apmērā (no 118,6 milj. euro  Ietvara likumā līdz 117,7 milj. euro bāzes prognozēs), 2027. gadā 2,0 milj. euro apmērā (no 129,1 milj. euro  Ietvara likumā līdz 127,1 milj. euro bāzes prognozēs), 2028. gadā 2,4 milj. euro apmērā (no 139,2 milj. euro 2026.-2028.gada apstiprinātās budžeta bāzes prognozes 2028.gadam līdz 136,8 milj. euro bāzes prognozēs).</t>
  </si>
  <si>
    <t>Samazinājums pamatkapitāla veidošanai materiāltehniskā bāzes (datortehnikas atjaunošanai)Pamatkapitāla veidošana samazināta līdz summai, lai varētu izpildīt noslēgtā līguma saistības.</t>
  </si>
  <si>
    <t>Samazinājums 1 209 629 euro ārpusģimenes pilngadību sasniegušajiem jauniešiem atbalsta pasākumiem. Šobrīd finansējums pakalpojumam 2 517 962 euro, pēc samazinājuma paliek 1 308 333 euro, t.i 109 028 euro</t>
  </si>
  <si>
    <t>Samazinājums nekustamā īpašuma pārvaldīšana (remontdarbu komponente), ēku remonti, izdevumi iestādes sabiedrisko aktivitāšu īstenošanai, sakaru pakalpojumi, biroja preces un inventārs, komandējumu izdevumi, mācību pakalpojumu, supervīzijas</t>
  </si>
  <si>
    <t>Samazinājums datortehnikas atjaunošanai.</t>
  </si>
  <si>
    <t>Samazinājums 3% no atlīdzības fonda (neskaitot veselības apdrošināšanas polises nozarei),  galvenokārt Valsts un pašvaldību institūciju amatpersonu un darbinieku atlīdzības likumā noteikto sociālo garantiju nodrošināšanai  (novērtēšanas prēmijām, atvaļinājuma pabalstiem).</t>
  </si>
  <si>
    <t>Izdevumus samazinošie pasākumi valsts budžetā</t>
  </si>
  <si>
    <t xml:space="preserve">Izdevumu samazinājums ilgtermiņa saistību pasākumam "Jauna cietuma būvniecība Liepājā" </t>
  </si>
  <si>
    <t>04.02.00 Ieslodzījuma vietu būvniecība</t>
  </si>
  <si>
    <t>Atbilstoši TM izstrādātajiem grozījumiem Ministru kabineta 2013. gada 12. februāra rīkojumā Nr. 50 "Par Ieslodzījuma vietu infrastruktūras attīstības koncepciju"" (25-TA-1634) (TM 10.07.2025 vēstule Nr.1-13.4/2094 "Par samazināmā finansējuma apjomu 2026-2029.gadam")</t>
  </si>
  <si>
    <t>Ministriju iesniegtie</t>
  </si>
  <si>
    <t>SIF</t>
  </si>
  <si>
    <t>74. resors</t>
  </si>
  <si>
    <t>LM (PB)</t>
  </si>
  <si>
    <t>LM (SB)</t>
  </si>
  <si>
    <t>Ministriju iesniegtais izdevumu samazinājums</t>
  </si>
  <si>
    <t>Samazinājuma apmērs 8,6% 
(FM aprēķini)</t>
  </si>
  <si>
    <t>Ministriju iesniegtais izdevumu samazinājums 2026. gadam</t>
  </si>
  <si>
    <t>Samazinājuma apmērs 8,6% 2026. gadam (FM aprēķini)</t>
  </si>
  <si>
    <t>Izdevumu samazinājums precēm un pakalpojumiem</t>
  </si>
  <si>
    <t>Izdevumu samazinājums pamatkapitāla veidošanai</t>
  </si>
  <si>
    <t>Cilvēkresursu (t.sk. 3% amata vietu samazinājums) un atlīdzības samazinājums
(Tā kā amata vietu samazinājums ir rēķināts no budžetā apstiprinātajām amatu vietām, tad informējam, ka 16 amatu vietas jau ir nodotas “Vakanču bankai”, paliek 3 papildus samazināmās amatu vietas.)</t>
  </si>
  <si>
    <t>Netiks pietiekami atjaunots inventārs meža ugunsapsardzībai, veikta ēku uzturēšana atbilstoši būvnormatīvu prasībām (remonti), būs jāpārskata programmatūru atjaunošanas pakalpojumi, jāsamazina dienesta autoparka izdevumi.</t>
  </si>
  <si>
    <t>Netiks veikta ēku būvniecība un kapitālie remonti, kā arī netiks veikta dienesta autoparka nomaiņa.</t>
  </si>
  <si>
    <t>1000 kods - atlīdzība (71 894 euro)
2000 kods - precēm un pakalpojumiem (340 106 euro)                                                                                                                                                                                       "K" ailē norādīts pasākuma kopējais finansējums.</t>
  </si>
  <si>
    <t>Konfiskācijas fonda iesaldēšana uz 4 gadiem līdz 2029.gadam. Samazināta viena amata vieta. "K" ailē norādīts pasākuma kopējais finasnējums.</t>
  </si>
  <si>
    <t>samazinās dotācija un attiecīgi preču un pakalpojumu izdevumi, kas tiek komepnsēti ar pašu ieņēmumu pieaugumu. "K" ailē uzrādīts kopējais izglītības iestāžu pašu ieņēmumu apmērs.</t>
  </si>
  <si>
    <t>Samazinājums tiek kompensēts ar pašu ieņēmumu pieaugumu. "K" ailē uzrādīts kopējais iestāžu pašu ieņēmumu apmērs.</t>
  </si>
  <si>
    <t>Rundāles pils muzejam samazinājums tiek kompensēts ar pašu ieņēmumu pieaugumu. "K" ailē uzrādīts kopējais iestāžu pašu ieņēmumu apmērs.</t>
  </si>
  <si>
    <t>LNKC -3000 euro; LNA-28082 euro; NKMP-325 euro; KISC-11500 euro. "K" ailē uzrādīts kopējais iestāžu pašu ieņēmumu apmērs.</t>
  </si>
  <si>
    <t xml:space="preserve">Apturēt maksājumu veikšanu starptautiskajā oraganizācijā FAO </t>
  </si>
  <si>
    <t>Korupcijas novēršanas un apkarošanas biroja darbības nodrošināšana</t>
  </si>
  <si>
    <t>Piedāvājums samazinājumam kopā (ministrijas):</t>
  </si>
  <si>
    <t>Piedāvājums samazinājumam kopā (neatkarīgās institūcijas):</t>
  </si>
  <si>
    <t>Izdevumu samazinājums pētījumiem
un komandējumiem</t>
  </si>
  <si>
    <t>01.00.00 Tiesībsarga birojs</t>
  </si>
  <si>
    <t>05. Tiesībsarga birojs piedāvā samazinājumam kopā:</t>
  </si>
  <si>
    <t>32. Prokuratūra piedāvā samazinājumam kopā:</t>
  </si>
  <si>
    <t>Atsevišķu Ģenerālprokuratūras un tiesu apgabalu prokuratūru struktūrvienību reorganizācija</t>
  </si>
  <si>
    <t>01.00.00 "Prokuratūras iestāžu uzturēšana"</t>
  </si>
  <si>
    <t>46. Sabiedrisko elektronisko plašsaziņas līdzekļu padome piedāvā samazināt kopā:</t>
  </si>
  <si>
    <t>Sabiedrisko elektronisko plašsaziņas līdzekļu padome</t>
  </si>
  <si>
    <t>Administratīvo izdevumu samazināšana</t>
  </si>
  <si>
    <t>01.00.00 Sabiedrisko elektronisko plašsaziņas līdzekļu padomes darbības nodrošināšana</t>
  </si>
  <si>
    <t xml:space="preserve"> 2000 Preces un pakalpojumi</t>
  </si>
  <si>
    <t>Atbalsta sniegšana publiskajam pasūtītājam konkurences tiesību pārkāpumu rezultātā radīto zaudējumu apzināšanā, novērtēšanā un aprēķināšanā</t>
  </si>
  <si>
    <t>26.02.00 Konkurences politikas ieviešana</t>
  </si>
  <si>
    <t>12. Ekonomikas ministrija (Konkurences padome) piedāvā samazinājumam kopā:</t>
  </si>
  <si>
    <t>47. Nacionālajā elektronisko plašsaziņas līdzekļu padome piedāvā samazinājumam kopā:</t>
  </si>
  <si>
    <t>Nacionālajā elektronisko plašsaziņas līdzekļu padome</t>
  </si>
  <si>
    <t>Virszemes bezmaksas televīzijas apraide  </t>
  </si>
  <si>
    <t>05.00.00 Galalietotājiem bez maksas izplatāmo programmu sarakstā iekļauto televīzijas programmu izplatīšana</t>
  </si>
  <si>
    <t xml:space="preserve">2223 Izdevumi par elektroenerģiju </t>
  </si>
  <si>
    <t>Pētījums par Latvijas iedzīvotāju prasmēm un ieradumiem lietot tehnoloģijas mediju pakalpojumu saņemšanai</t>
  </si>
  <si>
    <t>01.00.00 Nozares vadība</t>
  </si>
  <si>
    <t>2232 Izdevumi par profesionālās darbības pakalpojumiem</t>
  </si>
  <si>
    <t>Izdevumi, kas paredzēti komandējumiem, mācībām un starptautiskajai sadarbībai</t>
  </si>
  <si>
    <t>01.00.00 Tiesa</t>
  </si>
  <si>
    <t>28. Augstākā tiesa piedāvā samazinājumu kopā:</t>
  </si>
  <si>
    <t>Atlīdzība, naudas balvas</t>
  </si>
  <si>
    <t>1148 Prēmijas un naudas balvas</t>
  </si>
  <si>
    <t>Sabiedriskās attiecības</t>
  </si>
  <si>
    <t>2231 Izdevumi iestādes sabiedrisko aktivitāšu īstenošanai</t>
  </si>
  <si>
    <t>Mācību izdevumi</t>
  </si>
  <si>
    <t>2235 Izdevumi par saņemtajiem mācību pakalpojumiem</t>
  </si>
  <si>
    <t>Pārējie administratīvie izdevumi</t>
  </si>
  <si>
    <t>2239 Pārējie iestādes izdevumi par pakalpojumiem</t>
  </si>
  <si>
    <t>Reprezentācijas materiāli</t>
  </si>
  <si>
    <t>2314 Izdevumi par precēm iestādes sabiedrisko aktivitāšu īstenošanai</t>
  </si>
  <si>
    <t>30.  Satversmes tiesa piedāvā samazinājumu kopā:</t>
  </si>
  <si>
    <t>ACEEEO (Association of  European Election Officials) dalības maksa</t>
  </si>
  <si>
    <t>01.00.00 Vispārējā vadība</t>
  </si>
  <si>
    <t>Centrālā vēlēsanu komisija</t>
  </si>
  <si>
    <t>35.  Centrālās vēlēšanu komisija piedāvā samazinājumu kopā:</t>
  </si>
  <si>
    <t>Ārvalstu mācību, darba un dienesta komandējumi, darba braucieni</t>
  </si>
  <si>
    <t>Pamatlīdzekļu iegāde</t>
  </si>
  <si>
    <t>2120 Ārvalstu mācību, darba un dienesta komandējumi, darba braucieni</t>
  </si>
  <si>
    <t>5230 Pārējie pamatlīdzekļi</t>
  </si>
  <si>
    <t>19. Tieslietu ministrija (Datu valsts inspekcija) piedāvā samazinājumam kopā:</t>
  </si>
  <si>
    <t>Ministriju un neatkarīgo institūciju iesniegtie priekšlikumi finansējuma samazināšanai</t>
  </si>
  <si>
    <t>04. Korupcijas novēršanas un apkarošanas birojs piedāvā samazinājumam (t.sk. Politisko organizāciju(partiju) finansēšanas likuma grozījumi) kopā:</t>
  </si>
  <si>
    <t>Pedagogu profesionālās kompetences pilnveidošanas kursi pašvaldību iestādēs un iepirkumu procedūras rezultātā īstenotie kursi</t>
  </si>
  <si>
    <t>Ietaupītie resursi (sakarā ar digitalizāciju, - kārtridži, kancelejas preces)</t>
  </si>
  <si>
    <t>09.02.00 Fizisko personu datu aizsardzība</t>
  </si>
  <si>
    <t>Informatīvajam ziņojumam "Par valsts pamatbudžeta un valsts speciālā budžeta bāzi un izdevumu pārskatīšanas rezultātiem 2026., 2027., 2028. un 2029. gadam"</t>
  </si>
  <si>
    <t>7. pielikums</t>
  </si>
  <si>
    <t>Prioritārā pasākuma nosaukums, ja samazinājums skar prioritāro pasākumu ietvaros piešķirto finansējumu</t>
  </si>
  <si>
    <t>Valsts apmaksātu veselības aprūpes pakalpojumu pieejamības paaugstināšana Iekšlietu ministrijas sistēmas iestāžu un Ieslodzījuma vietu pārvaldes amatpersonām ar speciālajām dienesta pakāpēm (2024.-2026.)</t>
  </si>
  <si>
    <t xml:space="preserve">2023. – 2025. gada prioritārais pasākums “Ārpusģimenes aprūpes atbalsta pakalpojumu pilnveide, tai skaitā bērniem īpašās situācijās” apakšpasākums “Nodrošināts bāreņu un bez vecāku gādības palikušo bērnu atbalsts patstāvīgas dzīves uzsākšanai pēc pilngadības sasniegšanas” plānotais finansējums  2 517 962 euro </t>
  </si>
  <si>
    <t xml:space="preserve">2024.gada PP “Tiesu darbības nodrošināšana un infrastruktūras uzturēšanas izdevumu segšana” 
Piešķirtais finansējums 2026.g. un turpmāk ik gadu 14 005 euro </t>
  </si>
  <si>
    <t>2023.gada PP “Piespiedu dalītā īpašuma izbeigšana privatizētajās daudzdzīvokļu mājās“
Piešķirtais finansējums 2026.g. un turpmāk ik gadu 959 836 euro</t>
  </si>
  <si>
    <t>2023.gada PP “Piespiedu dalītā īpašuma izbeigšana privatizētajās daudzdzīvokļu mājās“ 
Piešķirtais finansējums 2026.g. un turpmāk ik gadu 892 744 euro</t>
  </si>
  <si>
    <t>2023.gada PP “Piespiedu dalītā īpašuma izbeigšana privatizētajās daudzdzīvokļu mājās“ 
Piešķirtais finansējums 2026.g. un turpmāk ik gadu  68 178 euro</t>
  </si>
  <si>
    <t>2022.gada PP “Digitalizācijas direktīvas ieviešana, t.sk. integrācijas ar Eiropas Centrālās platformas un reģistru savstarpējās savienojamības sistēmu ikgadējā uzturēšana“ 
Piešķirtais finansējums 2026.g. un turpmāk ik gadu 81 675 euro</t>
  </si>
  <si>
    <t>2024.gada PP “Latvijas Republikas kapacitātes un lomas stiprināšana starptautisko tiesību jautājumos, tostarp Ukrainas tiesiskais atbalsts” 
Piešķirtais finansējums 2026.g. un turpmāk ik gadu 400 343 euro</t>
  </si>
  <si>
    <t>Pasākumi, lai samazinātu ilglaicīgu negatīvo ietekmi uz sabiedrības psihisko veselību, ko rada COVID-19 pandēmija (2022-2024) ietvaros paredzētais finansējums 593 355 euro</t>
  </si>
  <si>
    <t>Veselības aprūpes pakalpojumu pieejamības un kvalitātes uzlabošana (2024-2026) apakšpasākuma "Profilakses pasākumu un veselības aprūpes pakalpojumu uzlabošanas plāna alkoholisko dzērienu un narkotisko vielu lietošanas izplatības mazināšanas jomā 2023.-2025.gadam" ietvaros paredzētais finansējums 57 606 euro atkarību konsultatīvā tālruņa izveidei</t>
  </si>
  <si>
    <t>Veselības aprūpes pakalpojumu pieejamības un kvalitātes uzlabošana (2024-2026) apakšpasākuma "Valsts tiesu medicīnas ekspertīzes centra darbības nepārtrauktības nodrošināšana"  ietvaros paredzētais finansējums 208 155 euro</t>
  </si>
  <si>
    <t>Veselības aprūpes pakalpojumu pieejamības un kvalitātes uzlabošana (2024-2026) apakšpasākuma "Informācijas komunikācijas tehnoloģiju un vienotās veselības nozares elektroniskās informācijas sistēmas (e-veselības) uzturēšana un nepārtrauktas darbības nodrošināšana" ietvaros paredzētais finansējums 383 328 euro kvalitātes pakalpojuma uzlabošanai</t>
  </si>
  <si>
    <t>Veselības aprūpes pakalpojumu pieejamības un kvalitātes uzlabošana (2024-2026) apakšpasākuma "Nodrošināt transplantācijas procesa attīstību Latvijā" ietvaros paredzētais finansējums 54 180 euro speciālistu apmācību un komunikācijas izdevumiem</t>
  </si>
  <si>
    <t>Veselības aprūpes pakalpojumu pieejamības un kvalitātes uzlabošana (2024-2026) apakšpasākuma "SIA "Latvijas Digitālās veselības centrs", lai NVD reorganizācijas rezultātā nodrošinātu tai deleģētās valsts funkcijas"  ietvaros paredzētais finansējums 2 992 201 euro</t>
  </si>
  <si>
    <t>Diskriminācijas novēršanas
struktūrvienības izveide atbilstoši Nacionālajai pozīcijai</t>
  </si>
  <si>
    <t>Atbalsta sniegšana publiskajiem pasūtītājiem karteļa vienošanās rezultātā nodarīto zaudējumu atgūšanā; ietvars 2024., 2025., 2026. un turpmāk ik gadu</t>
  </si>
  <si>
    <t>Virszemes bezmaksas televīzijas apraide (ietvars - turpmāk katru gadu)</t>
  </si>
  <si>
    <t>Pētījums par Latvijas iedzīvotāju prasmēm un ieradumiem lietot tehnoloģijas mediju pakalpojumu saņemšanai (ietvars - turpmāk katru gadu)</t>
  </si>
  <si>
    <t>Tai skaitā PP "Publisko personu nomas maksas sadārdzinājums" ietvaros  - 1 494 euro</t>
  </si>
  <si>
    <t>01. Valsts prezidenta kanceleja piedāvā samazinājumam kopā:</t>
  </si>
  <si>
    <t>Samazinājums prioritārajam pasākumam piešķirtajam fiansējumam</t>
  </si>
  <si>
    <t>04.00.00 Valsts prezidenta darbības nodrošināšana</t>
  </si>
  <si>
    <t>Latvijas ekonomiskās konkurētspējas veicināšana (vizītes ar uzņēmēju līdzdalību un lobija kampaņa Latvijas kandidatūrai uz ANO Drošības padomes (DP) nepastāvīgās dalībvalsts vietu) (2024-2027)</t>
  </si>
  <si>
    <t>Valsts prezidenta komisija Latvijas zinātnes un ekonomiskās konkurētspējas veicināšanai (2024-2027)</t>
  </si>
  <si>
    <t>Administratīvo izdevumu samazinājums Satiksmes ministrijā</t>
  </si>
  <si>
    <t>5000 Kapitālie izdevumi</t>
  </si>
  <si>
    <t>44.00.00 Līdzekļi aviācijas drošības, glābšanas un civilmilitārās sadarbības nodrošinšanai</t>
  </si>
  <si>
    <t>VSIA "Latvijas Valsts ceļi"</t>
  </si>
  <si>
    <t>VKKF finansējuma saglabāšana 2025.gada līmenī</t>
  </si>
  <si>
    <t xml:space="preserve">Kapitālsabiedrību pašu ieņēmumu kāpināšana </t>
  </si>
  <si>
    <t xml:space="preserve">Latvijas skolas somas finansējuma samazinājums ņemot vērā skolēnu skaita kritumu </t>
  </si>
  <si>
    <t>25.02.00 Valsts kultūrkapitāla fonda programmu un projektu konkursi</t>
  </si>
  <si>
    <t>02. Saeima piedāvā samazinājumam kopā:</t>
  </si>
  <si>
    <t>Saeimas ēku pārbūves un restaurācijas izdevumi</t>
  </si>
  <si>
    <t>41.13.00 Finansējums VAS "Valsts nekustamie īpašumi" īstenojamiem projektiem un pasākumiem  (FM budžeta apakšprogramma)</t>
  </si>
  <si>
    <t>23.07.00 Valsts autoceļu pārvaldīšana</t>
  </si>
  <si>
    <t>2001 Preces un pakalpojumi</t>
  </si>
  <si>
    <t xml:space="preserve">Finanšu ministrs     </t>
  </si>
  <si>
    <t>A. Ašeradens</t>
  </si>
  <si>
    <t>Godiņa, 27320139</t>
  </si>
  <si>
    <t>dace.godina@fm.gov.lv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</si>
</sst>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 ;\-#,##0\ "/>
    <numFmt numFmtId="166" formatCode="0.0%"/>
    <numFmt numFmtId="167" formatCode="#,##0.0"/>
    <numFmt numFmtId="168" formatCode="0.00000000%"/>
    <numFmt numFmtId="169" formatCode="0.0"/>
  </numFmts>
  <fonts count="63" x14ac:knownFonts="1">
    <font>
      <sz val="11"/>
      <color theme="1"/>
      <name val="Aptos Narrow"/>
      <family val="2"/>
      <charset val="186"/>
      <scheme val="minor"/>
    </font>
    <font>
      <sz val="11"/>
      <color theme="1"/>
      <name val="Aptos Narrow"/>
      <family val="2"/>
      <charset val="186"/>
      <scheme val="minor"/>
    </font>
    <font>
      <sz val="10"/>
      <color theme="1"/>
      <name val="Times New Roman"/>
      <family val="1"/>
      <charset val="186"/>
    </font>
    <font>
      <sz val="10"/>
      <name val="Times New Roman"/>
      <family val="1"/>
      <charset val="186"/>
    </font>
    <font>
      <i/>
      <sz val="10"/>
      <name val="Times New Roman"/>
      <family val="1"/>
      <charset val="186"/>
    </font>
    <font>
      <b/>
      <sz val="14"/>
      <color theme="1"/>
      <name val="Times New Roman"/>
      <family val="1"/>
      <charset val="186"/>
    </font>
    <font>
      <b/>
      <sz val="12"/>
      <color theme="1"/>
      <name val="Aptos Narrow"/>
      <family val="2"/>
      <scheme val="minor"/>
    </font>
    <font>
      <b/>
      <sz val="11"/>
      <color theme="1"/>
      <name val="Aptos Narrow"/>
      <family val="2"/>
      <scheme val="minor"/>
    </font>
    <font>
      <i/>
      <sz val="11"/>
      <color theme="1"/>
      <name val="Aptos Narrow"/>
      <family val="2"/>
      <scheme val="minor"/>
    </font>
    <font>
      <b/>
      <i/>
      <sz val="11"/>
      <color theme="1"/>
      <name val="Aptos Narrow"/>
      <family val="2"/>
      <scheme val="minor"/>
    </font>
    <font>
      <b/>
      <i/>
      <sz val="12"/>
      <color theme="1"/>
      <name val="Aptos Narrow"/>
      <family val="2"/>
      <scheme val="minor"/>
    </font>
    <font>
      <b/>
      <i/>
      <sz val="11"/>
      <color rgb="FFEE0000"/>
      <name val="Aptos Narrow"/>
      <family val="2"/>
      <scheme val="minor"/>
    </font>
    <font>
      <sz val="11"/>
      <color theme="1"/>
      <name val="Aptos Narrow"/>
      <family val="2"/>
      <scheme val="minor"/>
    </font>
    <font>
      <sz val="11"/>
      <color rgb="FFEE0000"/>
      <name val="Aptos Narrow"/>
      <family val="2"/>
      <scheme val="minor"/>
    </font>
    <font>
      <b/>
      <sz val="11"/>
      <color rgb="FFEE0000"/>
      <name val="Aptos Narrow"/>
      <family val="2"/>
      <scheme val="minor"/>
    </font>
    <font>
      <sz val="10"/>
      <color rgb="FF000000"/>
      <name val="Times New Roman"/>
      <family val="1"/>
      <charset val="186"/>
    </font>
    <font>
      <sz val="10"/>
      <color rgb="FFFF0000"/>
      <name val="Times New Roman"/>
      <family val="1"/>
      <charset val="186"/>
    </font>
    <font>
      <b/>
      <sz val="11"/>
      <color rgb="FFC00000"/>
      <name val="Aptos Narrow"/>
      <family val="2"/>
      <scheme val="minor"/>
    </font>
    <font>
      <b/>
      <i/>
      <sz val="11"/>
      <color rgb="FFC00000"/>
      <name val="Aptos Narrow"/>
      <family val="2"/>
      <scheme val="minor"/>
    </font>
    <font>
      <sz val="11"/>
      <color rgb="FFC00000"/>
      <name val="Aptos Narrow"/>
      <family val="2"/>
      <scheme val="minor"/>
    </font>
    <font>
      <u/>
      <sz val="11"/>
      <color theme="1"/>
      <name val="Aptos Narrow"/>
      <family val="2"/>
      <scheme val="minor"/>
    </font>
    <font>
      <sz val="11"/>
      <color rgb="FFFF0000"/>
      <name val="Aptos Narrow"/>
      <family val="2"/>
      <scheme val="minor"/>
    </font>
    <font>
      <i/>
      <sz val="10"/>
      <color theme="1"/>
      <name val="Times New Roman"/>
      <family val="1"/>
      <charset val="186"/>
    </font>
    <font>
      <b/>
      <sz val="10"/>
      <color theme="1"/>
      <name val="Times New Roman"/>
      <family val="1"/>
      <charset val="186"/>
    </font>
    <font>
      <b/>
      <i/>
      <sz val="10"/>
      <color theme="1"/>
      <name val="Times New Roman"/>
      <family val="1"/>
      <charset val="186"/>
    </font>
    <font>
      <sz val="8"/>
      <name val="Aptos Narrow"/>
      <family val="2"/>
      <charset val="186"/>
      <scheme val="minor"/>
    </font>
    <font>
      <u/>
      <sz val="10"/>
      <name val="Times New Roman"/>
      <family val="1"/>
      <charset val="186"/>
    </font>
    <font>
      <sz val="10"/>
      <name val="Times New Roman"/>
      <family val="1"/>
    </font>
    <font>
      <i/>
      <sz val="10"/>
      <name val="Times New Roman"/>
      <family val="1"/>
    </font>
    <font>
      <b/>
      <sz val="11"/>
      <color theme="1"/>
      <name val="Aptos Narrow"/>
      <family val="2"/>
      <charset val="186"/>
      <scheme val="minor"/>
    </font>
    <font>
      <sz val="11"/>
      <color rgb="FF1F497D"/>
      <name val="Aptos"/>
      <family val="2"/>
    </font>
    <font>
      <i/>
      <sz val="11"/>
      <color rgb="FF1F497D"/>
      <name val="Aptos"/>
      <family val="2"/>
    </font>
    <font>
      <b/>
      <sz val="11"/>
      <name val="Aptos Narrow"/>
      <family val="2"/>
      <charset val="186"/>
      <scheme val="minor"/>
    </font>
    <font>
      <b/>
      <sz val="11"/>
      <color theme="1"/>
      <name val="Aptos"/>
      <family val="2"/>
    </font>
    <font>
      <sz val="11"/>
      <color theme="1"/>
      <name val="Aptos"/>
      <family val="2"/>
      <charset val="186"/>
    </font>
    <font>
      <b/>
      <sz val="11"/>
      <color theme="1"/>
      <name val="Aptos"/>
      <family val="2"/>
      <charset val="186"/>
    </font>
    <font>
      <sz val="11"/>
      <color theme="1"/>
      <name val="Times New Roman"/>
      <family val="2"/>
      <charset val="186"/>
    </font>
    <font>
      <sz val="11"/>
      <color theme="1"/>
      <name val="Times New Roman"/>
      <family val="1"/>
      <charset val="186"/>
    </font>
    <font>
      <b/>
      <sz val="11"/>
      <color theme="1"/>
      <name val="Times New Roman"/>
      <family val="1"/>
      <charset val="186"/>
    </font>
    <font>
      <i/>
      <sz val="11"/>
      <color theme="1"/>
      <name val="Times New Roman"/>
      <family val="1"/>
      <charset val="186"/>
    </font>
    <font>
      <b/>
      <sz val="11"/>
      <color rgb="FFFF0000"/>
      <name val="Times New Roman"/>
      <family val="1"/>
      <charset val="186"/>
    </font>
    <font>
      <sz val="11"/>
      <name val="Aptos Narrow"/>
      <family val="2"/>
      <charset val="186"/>
      <scheme val="minor"/>
    </font>
    <font>
      <i/>
      <sz val="11"/>
      <name val="Aptos Narrow"/>
      <family val="2"/>
      <scheme val="minor"/>
    </font>
    <font>
      <b/>
      <sz val="11"/>
      <name val="Aptos Narrow"/>
      <family val="2"/>
      <scheme val="minor"/>
    </font>
    <font>
      <i/>
      <sz val="10"/>
      <color theme="1"/>
      <name val="Aptos Narrow"/>
      <family val="2"/>
      <scheme val="minor"/>
    </font>
    <font>
      <sz val="10"/>
      <color theme="1"/>
      <name val="Aptos Narrow"/>
      <family val="2"/>
      <scheme val="minor"/>
    </font>
    <font>
      <b/>
      <sz val="10"/>
      <color theme="1"/>
      <name val="Times New Roman"/>
      <family val="1"/>
    </font>
    <font>
      <sz val="10"/>
      <color theme="1"/>
      <name val="Times New Roman"/>
      <family val="1"/>
    </font>
    <font>
      <i/>
      <sz val="11"/>
      <color theme="1"/>
      <name val="Aptos Narrow"/>
      <family val="2"/>
      <charset val="186"/>
      <scheme val="minor"/>
    </font>
    <font>
      <sz val="10"/>
      <color rgb="FF000000"/>
      <name val="Times New Roman"/>
      <family val="1"/>
    </font>
    <font>
      <sz val="10"/>
      <color rgb="FFC00000"/>
      <name val="Times New Roman"/>
      <family val="1"/>
    </font>
    <font>
      <sz val="11"/>
      <color rgb="FF000000"/>
      <name val="Aptos"/>
      <family val="2"/>
      <charset val="1"/>
    </font>
    <font>
      <sz val="10"/>
      <color rgb="FF000000"/>
      <name val="Aptos"/>
      <family val="2"/>
      <charset val="1"/>
    </font>
    <font>
      <sz val="11"/>
      <color rgb="FF000000"/>
      <name val="Times New Roman"/>
      <family val="1"/>
      <charset val="186"/>
    </font>
    <font>
      <b/>
      <sz val="10"/>
      <name val="Times New Roman"/>
      <family val="1"/>
      <charset val="186"/>
    </font>
    <font>
      <sz val="11"/>
      <name val="Times New Roman"/>
      <family val="1"/>
    </font>
    <font>
      <sz val="11"/>
      <name val="Aptos Narrow"/>
      <family val="2"/>
      <charset val="186"/>
    </font>
    <font>
      <b/>
      <sz val="10"/>
      <name val="Times New Roman"/>
      <family val="1"/>
    </font>
    <font>
      <sz val="11"/>
      <color theme="1"/>
      <name val="Times New Roman"/>
      <family val="1"/>
    </font>
    <font>
      <u/>
      <sz val="11"/>
      <color theme="10"/>
      <name val="Aptos Narrow"/>
      <family val="2"/>
      <charset val="186"/>
      <scheme val="minor"/>
    </font>
    <font>
      <sz val="10"/>
      <name val="Arial"/>
      <family val="2"/>
      <charset val="186"/>
    </font>
    <font>
      <sz val="12"/>
      <name val="Times New Roman"/>
      <family val="1"/>
      <charset val="186"/>
    </font>
    <font>
      <u/>
      <sz val="10"/>
      <color theme="10"/>
      <name val="Times New Roman"/>
      <family val="1"/>
      <charset val="186"/>
    </font>
  </fonts>
  <fills count="24">
    <fill>
      <patternFill patternType="none"/>
    </fill>
    <fill>
      <patternFill patternType="gray125"/>
    </fill>
    <fill>
      <patternFill patternType="solid">
        <fgColor theme="3" tint="0.89999084444715716"/>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49992370372631"/>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6C3FF"/>
        <bgColor indexed="64"/>
      </patternFill>
    </fill>
    <fill>
      <patternFill patternType="solid">
        <fgColor theme="8"/>
        <bgColor indexed="64"/>
      </patternFill>
    </fill>
    <fill>
      <patternFill patternType="solid">
        <fgColor rgb="FF00B050"/>
        <bgColor indexed="64"/>
      </patternFill>
    </fill>
    <fill>
      <patternFill patternType="solid">
        <fgColor rgb="FF7CEB99"/>
        <bgColor indexed="64"/>
      </patternFill>
    </fill>
    <fill>
      <patternFill patternType="solid">
        <fgColor rgb="FF76E3FF"/>
        <bgColor indexed="64"/>
      </patternFill>
    </fill>
    <fill>
      <patternFill patternType="solid">
        <fgColor rgb="FFAAE57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5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48"/>
      </left>
      <right style="thin">
        <color indexed="48"/>
      </right>
      <top style="thin">
        <color indexed="48"/>
      </top>
      <bottom style="thin">
        <color indexed="48"/>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6" fillId="0" borderId="0"/>
    <xf numFmtId="0" fontId="3" fillId="23" borderId="31" applyNumberFormat="0" applyFill="0" applyProtection="0">
      <alignment horizontal="left" vertical="center" indent="1"/>
    </xf>
    <xf numFmtId="0" fontId="59" fillId="0" borderId="0" applyNumberFormat="0" applyFill="0" applyBorder="0" applyAlignment="0" applyProtection="0"/>
    <xf numFmtId="0" fontId="60" fillId="0" borderId="0"/>
  </cellStyleXfs>
  <cellXfs count="588">
    <xf numFmtId="0" fontId="0" fillId="0" borderId="0" xfId="0"/>
    <xf numFmtId="0" fontId="2" fillId="0" borderId="1" xfId="0" applyFont="1" applyBorder="1"/>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3" fontId="2" fillId="0" borderId="1" xfId="0" applyNumberFormat="1" applyFont="1" applyBorder="1" applyAlignment="1">
      <alignment vertical="center" wrapText="1"/>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0" borderId="4" xfId="0" applyBorder="1" applyAlignment="1">
      <alignment wrapText="1"/>
    </xf>
    <xf numFmtId="3" fontId="0" fillId="0" borderId="1" xfId="0" applyNumberFormat="1" applyBorder="1" applyAlignment="1">
      <alignment vertical="center"/>
    </xf>
    <xf numFmtId="166" fontId="8" fillId="0" borderId="1" xfId="2" applyNumberFormat="1" applyFont="1" applyBorder="1" applyAlignment="1">
      <alignment horizontal="right" vertical="center"/>
    </xf>
    <xf numFmtId="0" fontId="0" fillId="0" borderId="4" xfId="0" applyBorder="1" applyAlignment="1">
      <alignment vertical="center" wrapText="1"/>
    </xf>
    <xf numFmtId="3" fontId="7" fillId="0" borderId="1" xfId="0" applyNumberFormat="1" applyFont="1" applyBorder="1" applyAlignment="1">
      <alignment vertical="center"/>
    </xf>
    <xf numFmtId="0" fontId="9" fillId="3" borderId="1" xfId="0" applyFont="1" applyFill="1" applyBorder="1" applyAlignment="1">
      <alignment horizontal="center" vertical="center" wrapText="1"/>
    </xf>
    <xf numFmtId="3" fontId="12" fillId="0" borderId="1" xfId="2" applyNumberFormat="1" applyFont="1" applyBorder="1" applyAlignment="1">
      <alignment horizontal="right" vertical="center"/>
    </xf>
    <xf numFmtId="3" fontId="13" fillId="0" borderId="1" xfId="2" applyNumberFormat="1" applyFont="1" applyBorder="1" applyAlignment="1">
      <alignment horizontal="right" vertical="center"/>
    </xf>
    <xf numFmtId="3" fontId="2" fillId="0" borderId="1" xfId="1" applyNumberFormat="1" applyFont="1" applyBorder="1" applyAlignment="1">
      <alignment horizontal="right" vertical="center"/>
    </xf>
    <xf numFmtId="164" fontId="2" fillId="0" borderId="1" xfId="1"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0" xfId="0" applyFont="1"/>
    <xf numFmtId="0" fontId="2" fillId="0" borderId="1" xfId="0" applyFont="1" applyBorder="1" applyAlignment="1">
      <alignment horizontal="left" vertical="top" wrapText="1"/>
    </xf>
    <xf numFmtId="0" fontId="0" fillId="0" borderId="1" xfId="0" applyBorder="1" applyAlignment="1">
      <alignment vertical="center"/>
    </xf>
    <xf numFmtId="0" fontId="0" fillId="0" borderId="1" xfId="0" applyBorder="1" applyAlignment="1">
      <alignment horizontal="justify" vertical="justify" wrapText="1"/>
    </xf>
    <xf numFmtId="0" fontId="0" fillId="0" borderId="1" xfId="0" applyBorder="1" applyAlignment="1">
      <alignment horizontal="left" vertical="center"/>
    </xf>
    <xf numFmtId="3" fontId="0" fillId="0" borderId="1" xfId="0" applyNumberFormat="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justify" vertical="justify"/>
    </xf>
    <xf numFmtId="0" fontId="12" fillId="0" borderId="1" xfId="0" applyFont="1" applyBorder="1" applyAlignment="1">
      <alignment horizontal="justify" vertical="justify" wrapText="1"/>
    </xf>
    <xf numFmtId="3" fontId="0" fillId="0" borderId="1" xfId="0" applyNumberFormat="1" applyBorder="1" applyAlignment="1">
      <alignment horizontal="left" vertical="center"/>
    </xf>
    <xf numFmtId="0" fontId="0" fillId="0" borderId="1" xfId="0" applyBorder="1"/>
    <xf numFmtId="3" fontId="0" fillId="0" borderId="1" xfId="0" applyNumberFormat="1" applyBorder="1"/>
    <xf numFmtId="3" fontId="0" fillId="0" borderId="0" xfId="0" applyNumberFormat="1"/>
    <xf numFmtId="0" fontId="8" fillId="0" borderId="0" xfId="0" applyFont="1"/>
    <xf numFmtId="0" fontId="2" fillId="0" borderId="4" xfId="0" applyFont="1" applyBorder="1" applyAlignment="1">
      <alignment horizontal="center" vertical="center"/>
    </xf>
    <xf numFmtId="0" fontId="2" fillId="0" borderId="0" xfId="0" applyFont="1" applyAlignment="1">
      <alignment horizontal="center" vertical="center"/>
    </xf>
    <xf numFmtId="164" fontId="23" fillId="3"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164" fontId="22" fillId="4" borderId="1" xfId="0" applyNumberFormat="1" applyFont="1" applyFill="1" applyBorder="1" applyAlignment="1">
      <alignment horizontal="right" vertical="center"/>
    </xf>
    <xf numFmtId="165" fontId="22" fillId="4" borderId="1" xfId="0" applyNumberFormat="1" applyFont="1" applyFill="1" applyBorder="1" applyAlignment="1">
      <alignment horizontal="right" vertical="center"/>
    </xf>
    <xf numFmtId="165" fontId="23" fillId="3" borderId="1" xfId="0" applyNumberFormat="1" applyFont="1" applyFill="1" applyBorder="1" applyAlignment="1">
      <alignment horizontal="right" vertical="center"/>
    </xf>
    <xf numFmtId="3" fontId="22" fillId="4" borderId="1" xfId="0" applyNumberFormat="1" applyFont="1" applyFill="1" applyBorder="1" applyAlignment="1">
      <alignment horizontal="right" vertical="center"/>
    </xf>
    <xf numFmtId="0" fontId="2" fillId="0" borderId="2" xfId="0" applyFont="1" applyBorder="1" applyAlignment="1">
      <alignment horizontal="left" vertical="center" wrapText="1"/>
    </xf>
    <xf numFmtId="0" fontId="2" fillId="0" borderId="1" xfId="0" applyFont="1" applyBorder="1" applyAlignment="1">
      <alignment horizontal="left"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15" fillId="0" borderId="0" xfId="0" applyFont="1" applyAlignment="1">
      <alignment horizontal="left" vertical="center" wrapText="1"/>
    </xf>
    <xf numFmtId="49" fontId="3" fillId="7" borderId="1" xfId="0" applyNumberFormat="1" applyFont="1" applyFill="1" applyBorder="1" applyAlignment="1">
      <alignment vertical="center" wrapText="1"/>
    </xf>
    <xf numFmtId="0" fontId="3" fillId="7" borderId="1" xfId="0" applyFont="1" applyFill="1" applyBorder="1" applyAlignment="1">
      <alignment vertical="center" wrapText="1"/>
    </xf>
    <xf numFmtId="0" fontId="3" fillId="0" borderId="1" xfId="0" applyFont="1" applyBorder="1" applyAlignment="1">
      <alignment horizontal="left" vertical="center" wrapText="1"/>
    </xf>
    <xf numFmtId="14" fontId="2" fillId="0" borderId="1" xfId="0" applyNumberFormat="1" applyFont="1" applyBorder="1" applyAlignment="1">
      <alignment vertical="center" wrapText="1"/>
    </xf>
    <xf numFmtId="165" fontId="29" fillId="0" borderId="1" xfId="1" applyNumberFormat="1" applyFont="1" applyFill="1" applyBorder="1" applyAlignment="1">
      <alignment vertical="top" wrapText="1"/>
    </xf>
    <xf numFmtId="0" fontId="32" fillId="0" borderId="1" xfId="0" applyFont="1" applyBorder="1" applyAlignment="1">
      <alignment vertical="top" wrapText="1"/>
    </xf>
    <xf numFmtId="0" fontId="32" fillId="9" borderId="1" xfId="0" applyFont="1" applyFill="1" applyBorder="1" applyAlignment="1">
      <alignment vertical="top" wrapText="1"/>
    </xf>
    <xf numFmtId="0" fontId="30" fillId="0" borderId="1" xfId="0" applyFont="1" applyBorder="1" applyAlignment="1">
      <alignment horizontal="left" vertical="center" indent="15"/>
    </xf>
    <xf numFmtId="0" fontId="35" fillId="10" borderId="1" xfId="0" applyFont="1" applyFill="1" applyBorder="1" applyAlignment="1">
      <alignment horizontal="left" vertical="center" indent="1"/>
    </xf>
    <xf numFmtId="3" fontId="29" fillId="10" borderId="1" xfId="0" applyNumberFormat="1" applyFont="1" applyFill="1" applyBorder="1"/>
    <xf numFmtId="0" fontId="29" fillId="10" borderId="1" xfId="0" applyFont="1" applyFill="1" applyBorder="1"/>
    <xf numFmtId="0" fontId="30" fillId="0" borderId="1" xfId="0" applyFont="1" applyBorder="1" applyAlignment="1">
      <alignment horizontal="left" vertical="center" indent="1"/>
    </xf>
    <xf numFmtId="0" fontId="31" fillId="0" borderId="1" xfId="0" applyFont="1" applyBorder="1" applyAlignment="1">
      <alignment horizontal="left" vertical="center" indent="1"/>
    </xf>
    <xf numFmtId="0" fontId="33" fillId="10" borderId="1" xfId="0" applyFont="1" applyFill="1" applyBorder="1" applyAlignment="1">
      <alignment horizontal="left" vertical="center" indent="1"/>
    </xf>
    <xf numFmtId="3" fontId="7" fillId="10" borderId="1" xfId="0" applyNumberFormat="1" applyFont="1" applyFill="1" applyBorder="1"/>
    <xf numFmtId="0" fontId="0" fillId="10" borderId="1" xfId="0" applyFill="1" applyBorder="1"/>
    <xf numFmtId="0" fontId="34" fillId="0" borderId="1" xfId="0" applyFont="1" applyBorder="1" applyAlignment="1">
      <alignment horizontal="left" vertical="center" indent="1"/>
    </xf>
    <xf numFmtId="0" fontId="7" fillId="10" borderId="1" xfId="0" applyFont="1" applyFill="1" applyBorder="1"/>
    <xf numFmtId="0" fontId="0" fillId="0" borderId="1" xfId="0" applyBorder="1" applyAlignment="1">
      <alignment wrapText="1"/>
    </xf>
    <xf numFmtId="0" fontId="6" fillId="11" borderId="1" xfId="0" applyFont="1" applyFill="1" applyBorder="1" applyAlignment="1">
      <alignment horizontal="center" vertical="center"/>
    </xf>
    <xf numFmtId="0" fontId="0" fillId="8" borderId="1" xfId="0" applyFill="1" applyBorder="1" applyAlignment="1">
      <alignment horizontal="left" vertical="center"/>
    </xf>
    <xf numFmtId="3" fontId="0" fillId="8" borderId="1" xfId="0" applyNumberFormat="1" applyFill="1" applyBorder="1"/>
    <xf numFmtId="0" fontId="0" fillId="8" borderId="1" xfId="0" applyFill="1" applyBorder="1"/>
    <xf numFmtId="0" fontId="36" fillId="0" borderId="0" xfId="4"/>
    <xf numFmtId="0" fontId="36" fillId="12" borderId="0" xfId="4" applyFill="1"/>
    <xf numFmtId="0" fontId="29" fillId="0" borderId="1" xfId="0" applyFont="1" applyBorder="1" applyAlignment="1">
      <alignment vertical="top" wrapText="1"/>
    </xf>
    <xf numFmtId="165" fontId="0" fillId="0" borderId="1" xfId="1" applyNumberFormat="1" applyFont="1" applyFill="1" applyBorder="1" applyAlignment="1">
      <alignment vertical="top" wrapText="1"/>
    </xf>
    <xf numFmtId="165" fontId="0" fillId="0" borderId="0" xfId="0" applyNumberFormat="1"/>
    <xf numFmtId="0" fontId="32" fillId="13" borderId="1" xfId="0" applyFont="1" applyFill="1" applyBorder="1" applyAlignment="1">
      <alignment vertical="top" wrapText="1"/>
    </xf>
    <xf numFmtId="0" fontId="32" fillId="14" borderId="1" xfId="0" applyFont="1" applyFill="1" applyBorder="1" applyAlignment="1">
      <alignment vertical="top" wrapText="1"/>
    </xf>
    <xf numFmtId="0" fontId="32" fillId="15" borderId="1" xfId="0" applyFont="1" applyFill="1" applyBorder="1" applyAlignment="1">
      <alignment vertical="top" wrapText="1"/>
    </xf>
    <xf numFmtId="165" fontId="29" fillId="15" borderId="1" xfId="1" applyNumberFormat="1" applyFont="1" applyFill="1" applyBorder="1" applyAlignment="1">
      <alignment vertical="top" wrapText="1"/>
    </xf>
    <xf numFmtId="0" fontId="7" fillId="3" borderId="1" xfId="0" applyFont="1" applyFill="1" applyBorder="1" applyAlignment="1">
      <alignment horizontal="center" vertical="center" wrapText="1"/>
    </xf>
    <xf numFmtId="164" fontId="2" fillId="0" borderId="1" xfId="1" applyNumberFormat="1" applyFont="1" applyFill="1" applyBorder="1" applyAlignment="1">
      <alignment horizontal="right" vertical="center"/>
    </xf>
    <xf numFmtId="3" fontId="2" fillId="0" borderId="1" xfId="1" applyNumberFormat="1" applyFont="1" applyFill="1" applyBorder="1" applyAlignment="1">
      <alignment horizontal="right" vertical="center"/>
    </xf>
    <xf numFmtId="0" fontId="2" fillId="4" borderId="1" xfId="0" applyFont="1" applyFill="1" applyBorder="1" applyAlignment="1">
      <alignment horizontal="right" vertical="center"/>
    </xf>
    <xf numFmtId="0" fontId="22" fillId="4" borderId="1" xfId="0" applyFont="1" applyFill="1" applyBorder="1" applyAlignment="1">
      <alignment horizontal="right" vertical="center"/>
    </xf>
    <xf numFmtId="164" fontId="2" fillId="0" borderId="1" xfId="3" applyNumberFormat="1" applyFont="1" applyBorder="1" applyAlignment="1">
      <alignment horizontal="right" vertical="center"/>
    </xf>
    <xf numFmtId="164" fontId="2" fillId="0" borderId="1" xfId="3" applyNumberFormat="1" applyFont="1" applyFill="1" applyBorder="1" applyAlignment="1">
      <alignment horizontal="right" vertical="center"/>
    </xf>
    <xf numFmtId="3" fontId="3" fillId="0" borderId="1" xfId="1" applyNumberFormat="1" applyFont="1" applyFill="1" applyBorder="1" applyAlignment="1">
      <alignment horizontal="right" vertical="center"/>
    </xf>
    <xf numFmtId="3" fontId="3" fillId="0" borderId="1" xfId="1" applyNumberFormat="1" applyFont="1" applyBorder="1" applyAlignment="1">
      <alignment horizontal="right" vertical="center"/>
    </xf>
    <xf numFmtId="3" fontId="3" fillId="0" borderId="1" xfId="0" applyNumberFormat="1" applyFont="1" applyBorder="1" applyAlignment="1">
      <alignment horizontal="right" vertical="center" wrapText="1"/>
    </xf>
    <xf numFmtId="3" fontId="3" fillId="0" borderId="1" xfId="1" applyNumberFormat="1" applyFont="1" applyFill="1" applyBorder="1" applyAlignment="1">
      <alignment horizontal="right" vertical="center" wrapText="1"/>
    </xf>
    <xf numFmtId="3" fontId="3" fillId="0" borderId="1" xfId="1" applyNumberFormat="1" applyFont="1" applyBorder="1" applyAlignment="1">
      <alignment horizontal="right" vertical="center" wrapText="1"/>
    </xf>
    <xf numFmtId="164" fontId="2" fillId="0" borderId="1" xfId="1" applyNumberFormat="1" applyFont="1" applyFill="1" applyBorder="1" applyAlignment="1">
      <alignment horizontal="right" vertical="center" wrapText="1"/>
    </xf>
    <xf numFmtId="164" fontId="27" fillId="0" borderId="1" xfId="1" applyNumberFormat="1" applyFont="1" applyFill="1" applyBorder="1" applyAlignment="1">
      <alignment horizontal="right" vertical="center"/>
    </xf>
    <xf numFmtId="164" fontId="3" fillId="0" borderId="1" xfId="1" applyNumberFormat="1" applyFont="1" applyBorder="1" applyAlignment="1">
      <alignment horizontal="right" vertical="center"/>
    </xf>
    <xf numFmtId="164" fontId="3" fillId="0" borderId="1" xfId="1" applyNumberFormat="1" applyFont="1" applyFill="1" applyBorder="1" applyAlignment="1">
      <alignment horizontal="right" vertical="center"/>
    </xf>
    <xf numFmtId="3" fontId="2" fillId="4" borderId="0" xfId="0" applyNumberFormat="1" applyFont="1" applyFill="1" applyAlignment="1">
      <alignment horizontal="right" vertical="center"/>
    </xf>
    <xf numFmtId="0" fontId="2" fillId="0" borderId="0" xfId="0" applyFont="1" applyAlignment="1">
      <alignment horizontal="right" vertical="center"/>
    </xf>
    <xf numFmtId="164" fontId="2" fillId="0" borderId="0" xfId="1" applyNumberFormat="1" applyFont="1" applyAlignment="1">
      <alignment horizontal="right" vertical="center"/>
    </xf>
    <xf numFmtId="3" fontId="7" fillId="0" borderId="1" xfId="0" applyNumberFormat="1" applyFont="1" applyBorder="1"/>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8" fillId="0" borderId="4" xfId="0" applyFont="1" applyBorder="1" applyAlignment="1">
      <alignment vertical="center" wrapText="1"/>
    </xf>
    <xf numFmtId="3" fontId="7" fillId="11" borderId="1" xfId="0" applyNumberFormat="1" applyFont="1" applyFill="1" applyBorder="1"/>
    <xf numFmtId="3" fontId="12" fillId="0" borderId="1" xfId="0" applyNumberFormat="1" applyFont="1" applyBorder="1" applyAlignment="1">
      <alignment vertical="center"/>
    </xf>
    <xf numFmtId="0" fontId="36" fillId="0" borderId="0" xfId="4" applyAlignment="1">
      <alignment wrapText="1"/>
    </xf>
    <xf numFmtId="0" fontId="36" fillId="0" borderId="1" xfId="4" applyBorder="1"/>
    <xf numFmtId="0" fontId="36" fillId="0" borderId="1" xfId="4" applyBorder="1" applyAlignment="1">
      <alignment wrapText="1"/>
    </xf>
    <xf numFmtId="3" fontId="30" fillId="0" borderId="1" xfId="4" applyNumberFormat="1" applyFont="1" applyBorder="1"/>
    <xf numFmtId="3" fontId="36" fillId="0" borderId="1" xfId="4" applyNumberFormat="1" applyBorder="1"/>
    <xf numFmtId="0" fontId="39" fillId="0" borderId="1" xfId="4" applyFont="1" applyBorder="1" applyAlignment="1">
      <alignment wrapText="1"/>
    </xf>
    <xf numFmtId="3" fontId="36" fillId="12" borderId="1" xfId="4" applyNumberFormat="1" applyFill="1" applyBorder="1"/>
    <xf numFmtId="3" fontId="36" fillId="16" borderId="1" xfId="4" applyNumberFormat="1" applyFill="1" applyBorder="1"/>
    <xf numFmtId="0" fontId="38" fillId="12" borderId="1" xfId="4" applyFont="1" applyFill="1" applyBorder="1" applyAlignment="1">
      <alignment wrapText="1"/>
    </xf>
    <xf numFmtId="3" fontId="38" fillId="12" borderId="1" xfId="4" applyNumberFormat="1" applyFont="1" applyFill="1" applyBorder="1"/>
    <xf numFmtId="0" fontId="38" fillId="0" borderId="0" xfId="4" applyFont="1" applyAlignment="1">
      <alignment wrapText="1"/>
    </xf>
    <xf numFmtId="3" fontId="38" fillId="0" borderId="0" xfId="4" applyNumberFormat="1" applyFont="1"/>
    <xf numFmtId="3" fontId="36" fillId="0" borderId="0" xfId="4" applyNumberFormat="1"/>
    <xf numFmtId="0" fontId="36" fillId="3" borderId="1" xfId="4" applyFill="1" applyBorder="1"/>
    <xf numFmtId="0" fontId="36" fillId="16" borderId="1" xfId="4" applyFill="1" applyBorder="1" applyAlignment="1">
      <alignment wrapText="1"/>
    </xf>
    <xf numFmtId="3" fontId="36" fillId="3" borderId="1" xfId="4" applyNumberFormat="1" applyFill="1" applyBorder="1"/>
    <xf numFmtId="0" fontId="36" fillId="13" borderId="1" xfId="4" applyFill="1" applyBorder="1" applyAlignment="1">
      <alignment wrapText="1"/>
    </xf>
    <xf numFmtId="0" fontId="36" fillId="17" borderId="1" xfId="4" applyFill="1" applyBorder="1" applyAlignment="1">
      <alignment wrapText="1"/>
    </xf>
    <xf numFmtId="3" fontId="8" fillId="0" borderId="1" xfId="2" applyNumberFormat="1" applyFont="1" applyBorder="1" applyAlignment="1">
      <alignment horizontal="right" vertical="center"/>
    </xf>
    <xf numFmtId="3" fontId="0" fillId="20" borderId="1" xfId="0" applyNumberFormat="1" applyFill="1" applyBorder="1" applyAlignment="1">
      <alignment vertical="center"/>
    </xf>
    <xf numFmtId="3" fontId="41" fillId="20" borderId="1" xfId="0" applyNumberFormat="1" applyFont="1" applyFill="1" applyBorder="1" applyAlignment="1">
      <alignment vertical="center"/>
    </xf>
    <xf numFmtId="164" fontId="2" fillId="0" borderId="2" xfId="1" applyNumberFormat="1" applyFont="1" applyBorder="1" applyAlignment="1">
      <alignment horizontal="right" vertical="center"/>
    </xf>
    <xf numFmtId="3" fontId="2" fillId="0" borderId="1" xfId="0" applyNumberFormat="1" applyFont="1" applyBorder="1" applyAlignment="1">
      <alignment horizontal="left" vertical="center" wrapText="1"/>
    </xf>
    <xf numFmtId="3" fontId="2" fillId="4" borderId="1" xfId="0" applyNumberFormat="1" applyFont="1" applyFill="1" applyBorder="1" applyAlignment="1">
      <alignment vertical="center"/>
    </xf>
    <xf numFmtId="0" fontId="2" fillId="0" borderId="3" xfId="0" applyFont="1" applyBorder="1" applyAlignment="1">
      <alignment horizontal="left" vertical="center"/>
    </xf>
    <xf numFmtId="3" fontId="13" fillId="0" borderId="1" xfId="0" applyNumberFormat="1" applyFont="1" applyBorder="1" applyAlignment="1">
      <alignment vertical="center"/>
    </xf>
    <xf numFmtId="0" fontId="12" fillId="0" borderId="6" xfId="0" applyFont="1" applyBorder="1" applyAlignment="1">
      <alignment vertical="center" wrapText="1"/>
    </xf>
    <xf numFmtId="0" fontId="8" fillId="0" borderId="1" xfId="0" applyFont="1" applyBorder="1" applyAlignment="1">
      <alignment vertical="center" wrapText="1"/>
    </xf>
    <xf numFmtId="3" fontId="8" fillId="0" borderId="1" xfId="0" applyNumberFormat="1" applyFont="1" applyBorder="1" applyAlignment="1">
      <alignment vertical="center"/>
    </xf>
    <xf numFmtId="3" fontId="42" fillId="0" borderId="1" xfId="0" applyNumberFormat="1" applyFont="1" applyBorder="1" applyAlignment="1">
      <alignment vertical="center"/>
    </xf>
    <xf numFmtId="0" fontId="7" fillId="0" borderId="4" xfId="0" applyFont="1" applyBorder="1" applyAlignment="1">
      <alignment horizontal="right" vertical="center" wrapText="1"/>
    </xf>
    <xf numFmtId="3" fontId="2" fillId="0" borderId="1" xfId="1" applyNumberFormat="1" applyFont="1" applyFill="1" applyBorder="1" applyAlignment="1">
      <alignment horizontal="right" vertical="center" wrapText="1"/>
    </xf>
    <xf numFmtId="3" fontId="2" fillId="0" borderId="1" xfId="1" applyNumberFormat="1" applyFont="1" applyBorder="1" applyAlignment="1">
      <alignment horizontal="right" vertical="center" wrapText="1"/>
    </xf>
    <xf numFmtId="0" fontId="23" fillId="3" borderId="3" xfId="0" applyFont="1" applyFill="1" applyBorder="1" applyAlignment="1">
      <alignment horizontal="left" vertical="center" wrapText="1"/>
    </xf>
    <xf numFmtId="0" fontId="23" fillId="3" borderId="3" xfId="0" applyFont="1" applyFill="1" applyBorder="1" applyAlignment="1">
      <alignment horizontal="left" vertical="center"/>
    </xf>
    <xf numFmtId="0" fontId="23" fillId="4" borderId="3" xfId="0" applyFont="1" applyFill="1" applyBorder="1" applyAlignment="1">
      <alignment horizontal="left" vertical="center" wrapText="1"/>
    </xf>
    <xf numFmtId="0" fontId="23" fillId="4" borderId="3" xfId="0" applyFont="1" applyFill="1" applyBorder="1" applyAlignment="1">
      <alignment horizontal="left" vertical="center"/>
    </xf>
    <xf numFmtId="3" fontId="2" fillId="0" borderId="1" xfId="0" applyNumberFormat="1"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2" fillId="0" borderId="0" xfId="0" applyFont="1" applyAlignment="1">
      <alignment horizontal="left" vertical="center"/>
    </xf>
    <xf numFmtId="164" fontId="23" fillId="4" borderId="1" xfId="0" applyNumberFormat="1" applyFont="1" applyFill="1" applyBorder="1" applyAlignment="1">
      <alignment horizontal="right" vertical="center"/>
    </xf>
    <xf numFmtId="0" fontId="23" fillId="5" borderId="1" xfId="0" applyFont="1" applyFill="1" applyBorder="1" applyAlignment="1">
      <alignment horizontal="center" vertical="center"/>
    </xf>
    <xf numFmtId="0" fontId="7" fillId="0" borderId="4" xfId="0" applyFont="1" applyBorder="1" applyAlignment="1">
      <alignment vertical="center" wrapText="1"/>
    </xf>
    <xf numFmtId="3" fontId="7" fillId="0" borderId="1" xfId="2" applyNumberFormat="1" applyFont="1" applyBorder="1" applyAlignment="1">
      <alignment horizontal="right" vertical="center"/>
    </xf>
    <xf numFmtId="0" fontId="43" fillId="0" borderId="4" xfId="0" applyFont="1" applyBorder="1" applyAlignment="1">
      <alignment horizontal="right" vertical="center" wrapText="1"/>
    </xf>
    <xf numFmtId="3" fontId="43" fillId="0" borderId="1" xfId="2" applyNumberFormat="1" applyFont="1" applyBorder="1" applyAlignment="1">
      <alignment horizontal="right" vertical="center"/>
    </xf>
    <xf numFmtId="3" fontId="17" fillId="0" borderId="1" xfId="0" applyNumberFormat="1" applyFont="1" applyBorder="1" applyAlignment="1">
      <alignment vertical="center"/>
    </xf>
    <xf numFmtId="3" fontId="17" fillId="0" borderId="1" xfId="2" applyNumberFormat="1" applyFont="1" applyBorder="1" applyAlignment="1">
      <alignment horizontal="right" vertical="center"/>
    </xf>
    <xf numFmtId="0" fontId="19" fillId="0" borderId="0" xfId="0" applyFont="1"/>
    <xf numFmtId="3" fontId="7" fillId="11" borderId="0" xfId="0" applyNumberFormat="1" applyFont="1" applyFill="1"/>
    <xf numFmtId="3" fontId="0" fillId="0" borderId="0" xfId="0" applyNumberFormat="1" applyAlignment="1">
      <alignment vertical="center"/>
    </xf>
    <xf numFmtId="3" fontId="41" fillId="20" borderId="0" xfId="0" applyNumberFormat="1" applyFont="1" applyFill="1" applyAlignment="1">
      <alignment vertical="center"/>
    </xf>
    <xf numFmtId="3" fontId="0" fillId="20" borderId="0" xfId="0" applyNumberFormat="1" applyFill="1" applyAlignment="1">
      <alignment vertical="center"/>
    </xf>
    <xf numFmtId="3" fontId="7" fillId="0" borderId="0" xfId="0" applyNumberFormat="1" applyFont="1" applyAlignment="1">
      <alignment vertical="center"/>
    </xf>
    <xf numFmtId="0" fontId="23" fillId="3" borderId="1" xfId="0" applyFont="1" applyFill="1" applyBorder="1" applyAlignment="1">
      <alignment horizontal="left" vertical="center"/>
    </xf>
    <xf numFmtId="3" fontId="0" fillId="0" borderId="1" xfId="0" applyNumberFormat="1" applyBorder="1" applyAlignment="1">
      <alignment vertical="center" wrapText="1"/>
    </xf>
    <xf numFmtId="0" fontId="0" fillId="9" borderId="1" xfId="0" applyFill="1" applyBorder="1" applyAlignment="1">
      <alignment horizontal="center" vertical="center" wrapText="1"/>
    </xf>
    <xf numFmtId="49" fontId="0" fillId="9" borderId="1" xfId="0" applyNumberForma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0" fillId="0" borderId="0" xfId="0" applyAlignment="1">
      <alignment horizontal="center" vertical="center" wrapText="1"/>
    </xf>
    <xf numFmtId="49" fontId="0" fillId="0" borderId="0" xfId="0" applyNumberFormat="1" applyAlignment="1">
      <alignment vertical="center" wrapText="1"/>
    </xf>
    <xf numFmtId="0" fontId="43" fillId="0" borderId="4" xfId="0" applyFont="1" applyBorder="1" applyAlignment="1">
      <alignment vertical="center" wrapText="1"/>
    </xf>
    <xf numFmtId="167" fontId="7" fillId="0" borderId="0" xfId="0" applyNumberFormat="1" applyFont="1"/>
    <xf numFmtId="167" fontId="7" fillId="0" borderId="1" xfId="0" applyNumberFormat="1" applyFont="1" applyBorder="1" applyAlignment="1">
      <alignment wrapText="1"/>
    </xf>
    <xf numFmtId="0" fontId="7" fillId="0" borderId="1" xfId="0" applyFont="1" applyBorder="1" applyAlignment="1">
      <alignment horizontal="center"/>
    </xf>
    <xf numFmtId="0" fontId="7" fillId="0" borderId="4" xfId="0" applyFont="1" applyBorder="1" applyAlignment="1">
      <alignment horizontal="center"/>
    </xf>
    <xf numFmtId="0" fontId="7" fillId="0" borderId="1" xfId="0" applyFont="1" applyBorder="1"/>
    <xf numFmtId="0" fontId="44" fillId="0" borderId="1" xfId="0" applyFont="1" applyBorder="1"/>
    <xf numFmtId="167" fontId="44" fillId="0" borderId="1" xfId="0" applyNumberFormat="1" applyFont="1" applyBorder="1"/>
    <xf numFmtId="167" fontId="45" fillId="0" borderId="1" xfId="0" applyNumberFormat="1" applyFont="1" applyBorder="1"/>
    <xf numFmtId="167" fontId="0" fillId="21" borderId="6" xfId="0" applyNumberFormat="1" applyFill="1" applyBorder="1"/>
    <xf numFmtId="167" fontId="0" fillId="0" borderId="1" xfId="0" applyNumberFormat="1" applyBorder="1"/>
    <xf numFmtId="0" fontId="7" fillId="21" borderId="1" xfId="0" applyFont="1" applyFill="1" applyBorder="1"/>
    <xf numFmtId="167" fontId="7" fillId="21" borderId="1" xfId="0" applyNumberFormat="1" applyFont="1" applyFill="1" applyBorder="1"/>
    <xf numFmtId="0" fontId="0" fillId="21" borderId="1" xfId="0" applyFill="1" applyBorder="1"/>
    <xf numFmtId="0" fontId="0" fillId="21" borderId="4" xfId="0" applyFill="1" applyBorder="1"/>
    <xf numFmtId="167" fontId="0" fillId="21" borderId="1" xfId="0" applyNumberFormat="1" applyFill="1" applyBorder="1"/>
    <xf numFmtId="167" fontId="0" fillId="21" borderId="4" xfId="0" applyNumberFormat="1" applyFill="1" applyBorder="1"/>
    <xf numFmtId="167" fontId="0" fillId="0" borderId="0" xfId="0" applyNumberFormat="1"/>
    <xf numFmtId="0" fontId="7" fillId="0" borderId="4" xfId="0" applyFont="1" applyBorder="1"/>
    <xf numFmtId="167" fontId="7" fillId="0" borderId="4" xfId="0" applyNumberFormat="1" applyFont="1" applyBorder="1"/>
    <xf numFmtId="167" fontId="7" fillId="0" borderId="1" xfId="0" applyNumberFormat="1" applyFont="1" applyBorder="1"/>
    <xf numFmtId="167" fontId="0" fillId="0" borderId="0" xfId="2" applyNumberFormat="1" applyFont="1"/>
    <xf numFmtId="10" fontId="0" fillId="0" borderId="0" xfId="0" applyNumberFormat="1"/>
    <xf numFmtId="9" fontId="0" fillId="0" borderId="0" xfId="2" applyFont="1"/>
    <xf numFmtId="166" fontId="8" fillId="0" borderId="1" xfId="2" applyNumberFormat="1" applyFont="1" applyBorder="1" applyAlignment="1">
      <alignment horizontal="right"/>
    </xf>
    <xf numFmtId="168" fontId="0" fillId="0" borderId="0" xfId="2" applyNumberFormat="1" applyFont="1"/>
    <xf numFmtId="0" fontId="7" fillId="2" borderId="1" xfId="0" applyFont="1" applyFill="1" applyBorder="1" applyAlignment="1">
      <alignment horizontal="right" vertical="center"/>
    </xf>
    <xf numFmtId="3" fontId="7" fillId="2" borderId="1" xfId="0" applyNumberFormat="1" applyFont="1" applyFill="1" applyBorder="1" applyAlignment="1">
      <alignment horizontal="right" vertical="center"/>
    </xf>
    <xf numFmtId="3" fontId="7" fillId="3" borderId="1" xfId="0" applyNumberFormat="1" applyFont="1" applyFill="1" applyBorder="1" applyAlignment="1">
      <alignment vertical="center"/>
    </xf>
    <xf numFmtId="3" fontId="14" fillId="3" borderId="1" xfId="2" applyNumberFormat="1" applyFont="1" applyFill="1" applyBorder="1" applyAlignment="1">
      <alignment horizontal="right" vertical="center"/>
    </xf>
    <xf numFmtId="0" fontId="0" fillId="11" borderId="1" xfId="0" applyFill="1" applyBorder="1" applyAlignment="1">
      <alignment horizontal="center" vertical="center" wrapText="1"/>
    </xf>
    <xf numFmtId="3" fontId="0" fillId="0" borderId="1" xfId="2" applyNumberFormat="1" applyFont="1" applyBorder="1" applyAlignment="1">
      <alignment vertical="center"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xf>
    <xf numFmtId="4" fontId="27"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16" fillId="0" borderId="0" xfId="0" applyFont="1"/>
    <xf numFmtId="0" fontId="2" fillId="0" borderId="4" xfId="0" applyFont="1" applyBorder="1" applyAlignment="1">
      <alignment horizontal="left" vertical="center"/>
    </xf>
    <xf numFmtId="3" fontId="2" fillId="0" borderId="1" xfId="0" applyNumberFormat="1" applyFont="1" applyBorder="1" applyAlignment="1">
      <alignment horizontal="right" vertical="center" wrapText="1"/>
    </xf>
    <xf numFmtId="166" fontId="23" fillId="3" borderId="3" xfId="2" applyNumberFormat="1" applyFont="1" applyFill="1" applyBorder="1" applyAlignment="1">
      <alignment horizontal="center" vertical="center" wrapText="1"/>
    </xf>
    <xf numFmtId="166" fontId="46" fillId="4" borderId="3" xfId="2" applyNumberFormat="1" applyFont="1" applyFill="1" applyBorder="1" applyAlignment="1">
      <alignment horizontal="center" vertical="center" wrapText="1"/>
    </xf>
    <xf numFmtId="166" fontId="46" fillId="3" borderId="3" xfId="2" applyNumberFormat="1" applyFont="1" applyFill="1" applyBorder="1" applyAlignment="1">
      <alignment horizontal="center" vertical="center" wrapText="1"/>
    </xf>
    <xf numFmtId="166" fontId="47" fillId="0" borderId="1" xfId="2" applyNumberFormat="1" applyFont="1" applyBorder="1" applyAlignment="1">
      <alignment horizontal="center" vertical="center"/>
    </xf>
    <xf numFmtId="166" fontId="47" fillId="0" borderId="1" xfId="2" applyNumberFormat="1" applyFont="1" applyBorder="1" applyAlignment="1">
      <alignment horizontal="center" vertical="center" wrapText="1"/>
    </xf>
    <xf numFmtId="166" fontId="46" fillId="3" borderId="1" xfId="2" applyNumberFormat="1" applyFont="1" applyFill="1" applyBorder="1" applyAlignment="1">
      <alignment horizontal="center" vertical="center" wrapText="1"/>
    </xf>
    <xf numFmtId="166" fontId="46" fillId="4" borderId="1" xfId="2" applyNumberFormat="1" applyFont="1" applyFill="1" applyBorder="1" applyAlignment="1">
      <alignment horizontal="center" vertical="center" wrapText="1"/>
    </xf>
    <xf numFmtId="3" fontId="23" fillId="5" borderId="2" xfId="0" applyNumberFormat="1" applyFont="1" applyFill="1" applyBorder="1" applyAlignment="1">
      <alignment horizontal="right" vertical="center" wrapText="1"/>
    </xf>
    <xf numFmtId="3" fontId="23" fillId="5" borderId="3" xfId="0" applyNumberFormat="1" applyFont="1" applyFill="1" applyBorder="1" applyAlignment="1">
      <alignment horizontal="center" vertical="center" wrapText="1"/>
    </xf>
    <xf numFmtId="3" fontId="23" fillId="3" borderId="3" xfId="0" applyNumberFormat="1" applyFont="1" applyFill="1" applyBorder="1" applyAlignment="1">
      <alignment horizontal="right" vertical="center" wrapText="1"/>
    </xf>
    <xf numFmtId="3" fontId="23" fillId="4" borderId="3" xfId="0" applyNumberFormat="1" applyFont="1" applyFill="1" applyBorder="1" applyAlignment="1">
      <alignment horizontal="right" vertical="center" wrapText="1"/>
    </xf>
    <xf numFmtId="3" fontId="23" fillId="3" borderId="1" xfId="0" applyNumberFormat="1" applyFont="1" applyFill="1" applyBorder="1" applyAlignment="1">
      <alignment horizontal="right" vertical="center" wrapText="1"/>
    </xf>
    <xf numFmtId="3" fontId="23" fillId="4" borderId="1" xfId="0" applyNumberFormat="1" applyFont="1" applyFill="1" applyBorder="1" applyAlignment="1">
      <alignment horizontal="right" vertical="center" wrapText="1"/>
    </xf>
    <xf numFmtId="3" fontId="2" fillId="0" borderId="0" xfId="0" applyNumberFormat="1" applyFont="1" applyAlignment="1">
      <alignment horizontal="right" vertical="center"/>
    </xf>
    <xf numFmtId="164" fontId="16" fillId="0" borderId="1" xfId="1" applyNumberFormat="1" applyFont="1" applyFill="1" applyBorder="1" applyAlignment="1">
      <alignment horizontal="right" vertical="center"/>
    </xf>
    <xf numFmtId="0" fontId="2" fillId="0" borderId="19" xfId="0" applyFont="1" applyBorder="1" applyAlignment="1">
      <alignment horizontal="left" vertical="center"/>
    </xf>
    <xf numFmtId="164" fontId="23" fillId="3" borderId="3" xfId="0" applyNumberFormat="1" applyFont="1" applyFill="1" applyBorder="1" applyAlignment="1">
      <alignment horizontal="righ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3" fontId="8" fillId="0" borderId="1" xfId="0" applyNumberFormat="1" applyFont="1" applyBorder="1" applyAlignment="1">
      <alignment horizontal="right" vertical="center"/>
    </xf>
    <xf numFmtId="0" fontId="2" fillId="0" borderId="2" xfId="0" applyFont="1" applyBorder="1" applyAlignment="1">
      <alignment horizontal="center" vertical="center"/>
    </xf>
    <xf numFmtId="0" fontId="23" fillId="20" borderId="3" xfId="0" applyFont="1" applyFill="1" applyBorder="1" applyAlignment="1">
      <alignment horizontal="left" vertical="center" wrapText="1"/>
    </xf>
    <xf numFmtId="3" fontId="23" fillId="20" borderId="3" xfId="0" applyNumberFormat="1" applyFont="1" applyFill="1" applyBorder="1" applyAlignment="1">
      <alignment horizontal="right" vertical="center" wrapText="1"/>
    </xf>
    <xf numFmtId="166" fontId="46" fillId="20" borderId="3" xfId="2" applyNumberFormat="1" applyFont="1" applyFill="1" applyBorder="1" applyAlignment="1">
      <alignment horizontal="center" vertical="center" wrapText="1"/>
    </xf>
    <xf numFmtId="0" fontId="23" fillId="20" borderId="3" xfId="0" applyFont="1" applyFill="1" applyBorder="1" applyAlignment="1">
      <alignment horizontal="left" vertical="center"/>
    </xf>
    <xf numFmtId="3" fontId="12" fillId="0" borderId="0" xfId="0" applyNumberFormat="1" applyFont="1" applyAlignment="1">
      <alignment vertical="center"/>
    </xf>
    <xf numFmtId="3" fontId="12" fillId="0" borderId="4" xfId="0" applyNumberFormat="1" applyFont="1" applyBorder="1" applyAlignment="1">
      <alignment vertical="center"/>
    </xf>
    <xf numFmtId="3" fontId="12" fillId="0" borderId="16" xfId="0" applyNumberFormat="1" applyFont="1" applyBorder="1" applyAlignment="1">
      <alignment vertical="center"/>
    </xf>
    <xf numFmtId="3" fontId="12" fillId="0" borderId="2" xfId="0" applyNumberFormat="1" applyFont="1" applyBorder="1" applyAlignment="1">
      <alignment vertical="center"/>
    </xf>
    <xf numFmtId="3" fontId="12" fillId="0" borderId="3" xfId="0" applyNumberFormat="1" applyFont="1" applyBorder="1" applyAlignment="1">
      <alignment vertical="center"/>
    </xf>
    <xf numFmtId="165" fontId="23" fillId="4" borderId="1" xfId="0" applyNumberFormat="1" applyFont="1" applyFill="1" applyBorder="1" applyAlignment="1">
      <alignment horizontal="right" vertical="center"/>
    </xf>
    <xf numFmtId="164" fontId="2" fillId="20" borderId="1" xfId="0" applyNumberFormat="1" applyFont="1" applyFill="1" applyBorder="1" applyAlignment="1">
      <alignment horizontal="right" vertical="center"/>
    </xf>
    <xf numFmtId="0" fontId="29" fillId="22" borderId="16" xfId="0" applyFont="1" applyFill="1" applyBorder="1" applyAlignment="1">
      <alignment horizontal="center"/>
    </xf>
    <xf numFmtId="0" fontId="0" fillId="0" borderId="16" xfId="0" applyBorder="1" applyAlignment="1">
      <alignment horizontal="right" vertical="center"/>
    </xf>
    <xf numFmtId="0" fontId="0" fillId="0" borderId="16" xfId="0" applyBorder="1" applyAlignment="1">
      <alignment horizontal="right" vertical="center" wrapText="1"/>
    </xf>
    <xf numFmtId="0" fontId="29" fillId="22" borderId="19" xfId="0" applyFont="1" applyFill="1" applyBorder="1" applyAlignment="1">
      <alignment horizontal="center"/>
    </xf>
    <xf numFmtId="3" fontId="29" fillId="0" borderId="16" xfId="0" applyNumberFormat="1" applyFont="1" applyBorder="1"/>
    <xf numFmtId="3" fontId="48" fillId="0" borderId="22" xfId="0" applyNumberFormat="1" applyFont="1" applyBorder="1" applyAlignment="1">
      <alignment vertical="center"/>
    </xf>
    <xf numFmtId="3" fontId="48" fillId="0" borderId="16" xfId="0" applyNumberFormat="1" applyFont="1" applyBorder="1" applyAlignment="1">
      <alignment vertical="center"/>
    </xf>
    <xf numFmtId="3" fontId="48" fillId="0" borderId="19" xfId="0"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xf numFmtId="164" fontId="2" fillId="0" borderId="16" xfId="1" applyNumberFormat="1" applyFont="1" applyBorder="1" applyAlignment="1">
      <alignment horizontal="right" vertical="center"/>
    </xf>
    <xf numFmtId="0" fontId="2" fillId="0" borderId="16" xfId="0" applyFont="1" applyBorder="1" applyAlignment="1">
      <alignment horizontal="left" vertical="center"/>
    </xf>
    <xf numFmtId="3" fontId="2" fillId="0" borderId="16" xfId="0" applyNumberFormat="1" applyFont="1" applyBorder="1" applyAlignment="1">
      <alignment horizontal="right" vertical="center"/>
    </xf>
    <xf numFmtId="0" fontId="2" fillId="0" borderId="16" xfId="0" applyFont="1" applyBorder="1" applyAlignment="1">
      <alignment vertical="center"/>
    </xf>
    <xf numFmtId="0" fontId="2" fillId="0" borderId="16" xfId="0" applyFont="1" applyBorder="1" applyAlignment="1">
      <alignment vertical="center" wrapText="1"/>
    </xf>
    <xf numFmtId="0" fontId="19" fillId="0" borderId="0" xfId="0" applyFont="1" applyAlignment="1">
      <alignment horizontal="left" vertical="center"/>
    </xf>
    <xf numFmtId="0" fontId="48" fillId="0" borderId="0" xfId="0" applyFont="1"/>
    <xf numFmtId="0" fontId="0" fillId="0" borderId="21" xfId="0" applyBorder="1" applyAlignment="1">
      <alignment horizontal="right" vertical="center" wrapText="1"/>
    </xf>
    <xf numFmtId="0" fontId="29" fillId="0" borderId="21" xfId="0" applyFont="1" applyBorder="1" applyAlignment="1">
      <alignment horizontal="right" vertical="center"/>
    </xf>
    <xf numFmtId="0" fontId="47" fillId="0" borderId="1" xfId="0" applyFont="1" applyBorder="1" applyAlignment="1">
      <alignment horizontal="center" vertical="center" wrapText="1"/>
    </xf>
    <xf numFmtId="0" fontId="47" fillId="0" borderId="1" xfId="0" applyFont="1" applyBorder="1" applyAlignment="1">
      <alignment vertical="center" wrapText="1"/>
    </xf>
    <xf numFmtId="3" fontId="2" fillId="0" borderId="1" xfId="0" applyNumberFormat="1" applyFont="1" applyBorder="1" applyAlignment="1">
      <alignment horizontal="right" vertical="center"/>
    </xf>
    <xf numFmtId="3" fontId="15" fillId="0" borderId="1" xfId="0" applyNumberFormat="1" applyFont="1" applyBorder="1" applyAlignment="1">
      <alignment horizontal="right" vertical="center"/>
    </xf>
    <xf numFmtId="166" fontId="49" fillId="0" borderId="1" xfId="2" applyNumberFormat="1" applyFont="1" applyBorder="1" applyAlignment="1">
      <alignment horizontal="center" vertical="center"/>
    </xf>
    <xf numFmtId="0" fontId="50" fillId="0" borderId="1" xfId="0" applyFont="1" applyBorder="1" applyAlignment="1">
      <alignment horizontal="left" vertical="center" wrapText="1"/>
    </xf>
    <xf numFmtId="3" fontId="2" fillId="0" borderId="2" xfId="0" applyNumberFormat="1" applyFont="1" applyBorder="1" applyAlignment="1">
      <alignment horizontal="left" vertical="center" wrapText="1"/>
    </xf>
    <xf numFmtId="0" fontId="52" fillId="0" borderId="16" xfId="0" applyFont="1" applyBorder="1"/>
    <xf numFmtId="0" fontId="51" fillId="0" borderId="16" xfId="0" applyFont="1" applyBorder="1"/>
    <xf numFmtId="3" fontId="2" fillId="0" borderId="16" xfId="0" applyNumberFormat="1" applyFont="1" applyBorder="1" applyAlignment="1">
      <alignment horizontal="left" vertical="center" wrapText="1"/>
    </xf>
    <xf numFmtId="0" fontId="2" fillId="0" borderId="3" xfId="0" applyFont="1" applyBorder="1" applyAlignment="1">
      <alignment horizontal="center" vertical="center"/>
    </xf>
    <xf numFmtId="4" fontId="27" fillId="0" borderId="2" xfId="0" applyNumberFormat="1" applyFont="1" applyBorder="1" applyAlignment="1">
      <alignment horizontal="left" vertical="center" wrapText="1"/>
    </xf>
    <xf numFmtId="0" fontId="2" fillId="0" borderId="2" xfId="0" applyFont="1" applyBorder="1" applyAlignment="1">
      <alignment vertical="center"/>
    </xf>
    <xf numFmtId="0" fontId="27" fillId="0" borderId="3" xfId="0" applyFont="1" applyBorder="1" applyAlignment="1">
      <alignment vertical="center" wrapText="1"/>
    </xf>
    <xf numFmtId="0" fontId="27" fillId="0" borderId="16" xfId="0" applyFont="1" applyBorder="1" applyAlignment="1">
      <alignment vertical="center" wrapText="1"/>
    </xf>
    <xf numFmtId="0" fontId="2" fillId="0" borderId="13" xfId="0" applyFont="1" applyBorder="1" applyAlignment="1">
      <alignment vertical="center"/>
    </xf>
    <xf numFmtId="0" fontId="27" fillId="0" borderId="6" xfId="0" applyFont="1" applyBorder="1" applyAlignment="1">
      <alignment vertical="center" wrapText="1"/>
    </xf>
    <xf numFmtId="0" fontId="27" fillId="0" borderId="1" xfId="0" applyFont="1" applyBorder="1" applyAlignment="1">
      <alignment wrapText="1"/>
    </xf>
    <xf numFmtId="0" fontId="27" fillId="0" borderId="6" xfId="0" applyFont="1" applyBorder="1" applyAlignment="1">
      <alignment wrapText="1"/>
    </xf>
    <xf numFmtId="0" fontId="27" fillId="0" borderId="6" xfId="0" applyFont="1" applyBorder="1"/>
    <xf numFmtId="0" fontId="27" fillId="0" borderId="3" xfId="0" applyFont="1" applyBorder="1" applyAlignment="1">
      <alignment wrapText="1"/>
    </xf>
    <xf numFmtId="0" fontId="27" fillId="0" borderId="12" xfId="0" applyFont="1" applyBorder="1" applyAlignment="1">
      <alignment wrapText="1"/>
    </xf>
    <xf numFmtId="0" fontId="27" fillId="0" borderId="12" xfId="0" applyFont="1" applyBorder="1"/>
    <xf numFmtId="0" fontId="27" fillId="0" borderId="12" xfId="0" applyFont="1" applyBorder="1" applyAlignment="1">
      <alignment vertical="center" wrapText="1"/>
    </xf>
    <xf numFmtId="0" fontId="28" fillId="0" borderId="12" xfId="0" applyFont="1" applyBorder="1" applyAlignment="1">
      <alignment wrapText="1"/>
    </xf>
    <xf numFmtId="0" fontId="3" fillId="0" borderId="3" xfId="0" applyFont="1" applyBorder="1" applyAlignment="1">
      <alignment horizontal="left" vertical="center" wrapText="1"/>
    </xf>
    <xf numFmtId="0" fontId="27" fillId="0" borderId="6" xfId="0" applyFont="1" applyBorder="1" applyAlignment="1">
      <alignment vertical="center"/>
    </xf>
    <xf numFmtId="4" fontId="27" fillId="0" borderId="16" xfId="0" applyNumberFormat="1" applyFont="1" applyBorder="1" applyAlignment="1">
      <alignment vertical="center" wrapText="1"/>
    </xf>
    <xf numFmtId="4" fontId="27" fillId="0" borderId="16" xfId="0" applyNumberFormat="1" applyFont="1" applyBorder="1" applyAlignment="1">
      <alignment horizontal="left" vertical="center" wrapText="1"/>
    </xf>
    <xf numFmtId="0" fontId="53" fillId="0" borderId="1" xfId="0" applyFont="1" applyBorder="1" applyAlignment="1">
      <alignment vertical="center" wrapText="1"/>
    </xf>
    <xf numFmtId="0" fontId="53" fillId="0" borderId="6" xfId="0" applyFont="1" applyBorder="1" applyAlignment="1">
      <alignment vertical="center" wrapText="1"/>
    </xf>
    <xf numFmtId="0" fontId="53" fillId="0" borderId="3" xfId="0" applyFont="1" applyBorder="1" applyAlignment="1">
      <alignment vertical="center" wrapText="1"/>
    </xf>
    <xf numFmtId="0" fontId="53" fillId="0" borderId="12" xfId="0" applyFont="1" applyBorder="1" applyAlignment="1">
      <alignment vertical="center" wrapText="1"/>
    </xf>
    <xf numFmtId="0" fontId="53" fillId="0" borderId="3" xfId="0" applyFont="1" applyBorder="1" applyAlignment="1">
      <alignment vertical="center"/>
    </xf>
    <xf numFmtId="3" fontId="2" fillId="0" borderId="2" xfId="1" applyNumberFormat="1" applyFont="1" applyFill="1" applyBorder="1" applyAlignment="1">
      <alignment horizontal="right" vertical="center"/>
    </xf>
    <xf numFmtId="3" fontId="2" fillId="0" borderId="2" xfId="1" applyNumberFormat="1" applyFont="1" applyBorder="1" applyAlignment="1">
      <alignment horizontal="right" vertical="center"/>
    </xf>
    <xf numFmtId="3" fontId="47" fillId="0" borderId="1" xfId="1" applyNumberFormat="1" applyFont="1" applyBorder="1" applyAlignment="1">
      <alignment horizontal="right" vertical="center"/>
    </xf>
    <xf numFmtId="3" fontId="27" fillId="0" borderId="1" xfId="1" applyNumberFormat="1" applyFont="1" applyBorder="1" applyAlignment="1">
      <alignment horizontal="right" vertical="center"/>
    </xf>
    <xf numFmtId="0" fontId="27" fillId="0" borderId="29" xfId="0" applyFont="1" applyBorder="1" applyAlignment="1">
      <alignment vertical="center" wrapText="1"/>
    </xf>
    <xf numFmtId="0" fontId="2" fillId="0" borderId="2" xfId="0" applyFont="1" applyBorder="1" applyAlignment="1">
      <alignment vertical="center" wrapText="1"/>
    </xf>
    <xf numFmtId="0" fontId="27" fillId="0" borderId="2" xfId="0" applyFont="1" applyBorder="1" applyAlignment="1">
      <alignment vertical="center" wrapText="1"/>
    </xf>
    <xf numFmtId="0" fontId="27" fillId="0" borderId="2" xfId="0" applyFont="1" applyBorder="1" applyAlignment="1">
      <alignment horizontal="left" vertical="center" wrapText="1"/>
    </xf>
    <xf numFmtId="3" fontId="27" fillId="0" borderId="1" xfId="0" applyNumberFormat="1" applyFont="1" applyBorder="1" applyAlignment="1">
      <alignment horizontal="right" vertical="center"/>
    </xf>
    <xf numFmtId="166" fontId="27" fillId="0" borderId="1" xfId="2" applyNumberFormat="1" applyFont="1" applyBorder="1" applyAlignment="1">
      <alignment horizontal="center" vertical="center"/>
    </xf>
    <xf numFmtId="3" fontId="27" fillId="0" borderId="1" xfId="0" applyNumberFormat="1" applyFont="1" applyBorder="1" applyAlignment="1">
      <alignment horizontal="right" vertical="center" wrapText="1"/>
    </xf>
    <xf numFmtId="166" fontId="27" fillId="0" borderId="1" xfId="2" applyNumberFormat="1" applyFont="1" applyBorder="1" applyAlignment="1">
      <alignment horizontal="center" vertical="center" wrapText="1"/>
    </xf>
    <xf numFmtId="166" fontId="27" fillId="0" borderId="1" xfId="2" applyNumberFormat="1" applyFont="1" applyFill="1" applyBorder="1" applyAlignment="1">
      <alignment horizontal="center" vertical="center"/>
    </xf>
    <xf numFmtId="3" fontId="3" fillId="0" borderId="3" xfId="0" applyNumberFormat="1" applyFont="1" applyBorder="1" applyAlignment="1">
      <alignment horizontal="left" vertical="center" wrapText="1"/>
    </xf>
    <xf numFmtId="3" fontId="3" fillId="0" borderId="1" xfId="0" applyNumberFormat="1" applyFont="1" applyBorder="1" applyAlignment="1">
      <alignment vertical="center" wrapText="1"/>
    </xf>
    <xf numFmtId="3" fontId="43" fillId="0" borderId="1" xfId="0" applyNumberFormat="1" applyFont="1" applyBorder="1"/>
    <xf numFmtId="0" fontId="2" fillId="0" borderId="3" xfId="0" applyFont="1" applyBorder="1" applyAlignment="1">
      <alignment horizontal="center"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169" fontId="0" fillId="0" borderId="0" xfId="0" applyNumberFormat="1"/>
    <xf numFmtId="3" fontId="12" fillId="0" borderId="0" xfId="0" applyNumberFormat="1" applyFont="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xf>
    <xf numFmtId="167" fontId="0" fillId="0" borderId="1" xfId="0" applyNumberFormat="1" applyBorder="1" applyAlignment="1">
      <alignment vertical="center"/>
    </xf>
    <xf numFmtId="0" fontId="7" fillId="2" borderId="3" xfId="0" applyFont="1" applyFill="1" applyBorder="1" applyAlignment="1">
      <alignment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23" fillId="0" borderId="3" xfId="0" applyFont="1" applyBorder="1" applyAlignment="1">
      <alignment horizontal="left" vertical="center" wrapText="1"/>
    </xf>
    <xf numFmtId="165" fontId="54" fillId="3" borderId="3" xfId="0" applyNumberFormat="1" applyFont="1" applyFill="1" applyBorder="1" applyAlignment="1">
      <alignment horizontal="right" vertical="center"/>
    </xf>
    <xf numFmtId="3" fontId="27" fillId="0" borderId="19" xfId="0" applyNumberFormat="1" applyFont="1" applyBorder="1" applyAlignment="1">
      <alignment horizontal="right" vertical="center"/>
    </xf>
    <xf numFmtId="3" fontId="27" fillId="0" borderId="2" xfId="0" applyNumberFormat="1" applyFont="1" applyBorder="1" applyAlignment="1">
      <alignment horizontal="right" vertical="center"/>
    </xf>
    <xf numFmtId="166" fontId="27" fillId="0" borderId="2" xfId="2" applyNumberFormat="1" applyFont="1" applyBorder="1" applyAlignment="1">
      <alignment horizontal="center" vertical="center"/>
    </xf>
    <xf numFmtId="3" fontId="27" fillId="0" borderId="3" xfId="0" applyNumberFormat="1" applyFont="1" applyBorder="1" applyAlignment="1">
      <alignment horizontal="right" vertical="center"/>
    </xf>
    <xf numFmtId="0" fontId="27" fillId="0" borderId="3" xfId="0" applyFont="1" applyBorder="1" applyAlignment="1">
      <alignment vertical="center"/>
    </xf>
    <xf numFmtId="3" fontId="55" fillId="7" borderId="1" xfId="0" applyNumberFormat="1" applyFont="1" applyFill="1" applyBorder="1" applyAlignment="1">
      <alignment vertical="center"/>
    </xf>
    <xf numFmtId="166" fontId="3" fillId="0" borderId="1" xfId="2" applyNumberFormat="1" applyFont="1" applyBorder="1" applyAlignment="1">
      <alignment horizontal="center" vertical="center" wrapText="1"/>
    </xf>
    <xf numFmtId="164" fontId="3" fillId="0" borderId="1" xfId="3" applyNumberFormat="1" applyFont="1" applyBorder="1" applyAlignment="1">
      <alignment horizontal="right" vertical="center"/>
    </xf>
    <xf numFmtId="0" fontId="56" fillId="7" borderId="0" xfId="0" applyFont="1" applyFill="1"/>
    <xf numFmtId="3" fontId="3" fillId="7" borderId="1" xfId="0" applyNumberFormat="1" applyFont="1" applyFill="1" applyBorder="1" applyAlignment="1">
      <alignment horizontal="right" vertical="center" wrapText="1"/>
    </xf>
    <xf numFmtId="3" fontId="55" fillId="0" borderId="1" xfId="0" applyNumberFormat="1" applyFont="1" applyBorder="1" applyAlignment="1">
      <alignment horizontal="right" vertical="center" wrapText="1"/>
    </xf>
    <xf numFmtId="3" fontId="55" fillId="0" borderId="1" xfId="1" applyNumberFormat="1" applyFont="1" applyBorder="1" applyAlignment="1">
      <alignment horizontal="right" vertical="center" wrapText="1"/>
    </xf>
    <xf numFmtId="3" fontId="57" fillId="3" borderId="1" xfId="0" applyNumberFormat="1" applyFont="1" applyFill="1" applyBorder="1" applyAlignment="1">
      <alignment horizontal="right" vertical="center" wrapText="1"/>
    </xf>
    <xf numFmtId="166" fontId="57" fillId="3" borderId="1" xfId="2" applyNumberFormat="1" applyFont="1" applyFill="1" applyBorder="1" applyAlignment="1">
      <alignment horizontal="center" vertical="center" wrapText="1"/>
    </xf>
    <xf numFmtId="3" fontId="57" fillId="4" borderId="1" xfId="0" applyNumberFormat="1" applyFont="1" applyFill="1" applyBorder="1" applyAlignment="1">
      <alignment horizontal="right" vertical="center" wrapText="1"/>
    </xf>
    <xf numFmtId="166" fontId="57" fillId="4" borderId="1" xfId="2" applyNumberFormat="1" applyFont="1" applyFill="1" applyBorder="1" applyAlignment="1">
      <alignment horizontal="center" vertical="center" wrapText="1"/>
    </xf>
    <xf numFmtId="166" fontId="27" fillId="0" borderId="4" xfId="2" applyNumberFormat="1" applyFont="1" applyFill="1" applyBorder="1" applyAlignment="1">
      <alignment horizontal="center" vertical="center" wrapText="1"/>
    </xf>
    <xf numFmtId="0" fontId="3" fillId="0" borderId="16" xfId="0" applyFont="1" applyBorder="1" applyAlignment="1">
      <alignment vertical="center" wrapText="1"/>
    </xf>
    <xf numFmtId="166" fontId="27" fillId="0" borderId="4" xfId="2" applyNumberFormat="1" applyFont="1" applyBorder="1" applyAlignment="1">
      <alignment horizontal="center" vertical="center" wrapText="1"/>
    </xf>
    <xf numFmtId="3" fontId="27" fillId="0" borderId="16" xfId="0" applyNumberFormat="1" applyFont="1" applyBorder="1" applyAlignment="1">
      <alignment horizontal="left" vertical="center" wrapText="1"/>
    </xf>
    <xf numFmtId="3" fontId="27" fillId="0" borderId="3" xfId="0" applyNumberFormat="1" applyFont="1" applyBorder="1" applyAlignment="1">
      <alignment horizontal="left" vertical="center" wrapText="1"/>
    </xf>
    <xf numFmtId="3" fontId="27" fillId="0" borderId="1" xfId="0" applyNumberFormat="1" applyFont="1" applyBorder="1" applyAlignment="1">
      <alignment horizontal="left" vertical="center" wrapText="1"/>
    </xf>
    <xf numFmtId="0" fontId="57" fillId="3" borderId="3" xfId="0" applyFont="1" applyFill="1" applyBorder="1" applyAlignment="1">
      <alignment horizontal="left" vertical="center"/>
    </xf>
    <xf numFmtId="0" fontId="57" fillId="4" borderId="3" xfId="0" applyFont="1" applyFill="1" applyBorder="1" applyAlignment="1">
      <alignment horizontal="left" vertical="center"/>
    </xf>
    <xf numFmtId="3" fontId="27" fillId="0" borderId="0" xfId="0" applyNumberFormat="1" applyFont="1" applyAlignment="1">
      <alignment vertical="center"/>
    </xf>
    <xf numFmtId="3" fontId="27" fillId="0" borderId="16" xfId="0" applyNumberFormat="1" applyFont="1" applyBorder="1" applyAlignment="1">
      <alignment horizontal="right" vertical="center"/>
    </xf>
    <xf numFmtId="0" fontId="27" fillId="0" borderId="3" xfId="0" applyFont="1" applyBorder="1" applyAlignment="1">
      <alignment horizontal="left" vertical="center"/>
    </xf>
    <xf numFmtId="3" fontId="27" fillId="0" borderId="17" xfId="0" applyNumberFormat="1" applyFont="1" applyBorder="1" applyAlignment="1">
      <alignment horizontal="right" vertical="center"/>
    </xf>
    <xf numFmtId="3" fontId="27" fillId="0" borderId="18" xfId="0" applyNumberFormat="1" applyFont="1" applyBorder="1" applyAlignment="1">
      <alignment horizontal="right" vertical="center"/>
    </xf>
    <xf numFmtId="164" fontId="27" fillId="0" borderId="1" xfId="1" applyNumberFormat="1" applyFont="1" applyBorder="1" applyAlignment="1">
      <alignment horizontal="right" vertical="center"/>
    </xf>
    <xf numFmtId="166" fontId="27" fillId="0" borderId="1" xfId="2" applyNumberFormat="1" applyFont="1" applyFill="1" applyBorder="1" applyAlignment="1">
      <alignment horizontal="center" vertical="center" wrapText="1"/>
    </xf>
    <xf numFmtId="166" fontId="28" fillId="0" borderId="4" xfId="2" applyNumberFormat="1" applyFont="1" applyFill="1" applyBorder="1" applyAlignment="1">
      <alignment horizontal="center" vertical="center" wrapText="1"/>
    </xf>
    <xf numFmtId="166" fontId="27" fillId="0" borderId="4" xfId="2" applyNumberFormat="1" applyFont="1" applyFill="1" applyBorder="1" applyAlignment="1">
      <alignment horizontal="center" vertical="center"/>
    </xf>
    <xf numFmtId="166" fontId="27" fillId="0" borderId="4" xfId="2" applyNumberFormat="1" applyFont="1" applyBorder="1" applyAlignment="1">
      <alignment horizontal="center" vertical="center"/>
    </xf>
    <xf numFmtId="165" fontId="22" fillId="0" borderId="1" xfId="0" applyNumberFormat="1" applyFont="1" applyBorder="1" applyAlignment="1">
      <alignment horizontal="right" vertical="center"/>
    </xf>
    <xf numFmtId="3" fontId="23" fillId="0" borderId="3" xfId="0" applyNumberFormat="1" applyFont="1" applyBorder="1" applyAlignment="1">
      <alignment horizontal="right" vertical="center" wrapText="1"/>
    </xf>
    <xf numFmtId="166" fontId="46" fillId="0" borderId="3" xfId="2" applyNumberFormat="1" applyFont="1" applyFill="1" applyBorder="1" applyAlignment="1">
      <alignment horizontal="center" vertical="center" wrapText="1"/>
    </xf>
    <xf numFmtId="0" fontId="23" fillId="0" borderId="3" xfId="0" applyFont="1" applyBorder="1" applyAlignment="1">
      <alignment horizontal="left" vertical="center"/>
    </xf>
    <xf numFmtId="0" fontId="23" fillId="0" borderId="1" xfId="0" applyFont="1" applyBorder="1" applyAlignment="1">
      <alignment horizontal="left" vertical="center" wrapText="1"/>
    </xf>
    <xf numFmtId="3" fontId="23" fillId="0" borderId="1" xfId="0" applyNumberFormat="1" applyFont="1" applyBorder="1" applyAlignment="1">
      <alignment horizontal="right" vertical="center" wrapText="1"/>
    </xf>
    <xf numFmtId="166" fontId="46" fillId="0" borderId="1" xfId="2" applyNumberFormat="1" applyFont="1" applyFill="1" applyBorder="1" applyAlignment="1">
      <alignment horizontal="center" vertical="center" wrapText="1"/>
    </xf>
    <xf numFmtId="164" fontId="22" fillId="0" borderId="1" xfId="0" applyNumberFormat="1" applyFont="1" applyBorder="1" applyAlignment="1">
      <alignment horizontal="right" vertical="center"/>
    </xf>
    <xf numFmtId="165" fontId="23" fillId="0" borderId="3" xfId="0" applyNumberFormat="1" applyFont="1" applyBorder="1" applyAlignment="1">
      <alignment horizontal="left" vertical="center" wrapText="1"/>
    </xf>
    <xf numFmtId="3" fontId="57" fillId="0" borderId="1" xfId="0" applyNumberFormat="1" applyFont="1" applyBorder="1" applyAlignment="1">
      <alignment horizontal="right" vertical="center" wrapText="1"/>
    </xf>
    <xf numFmtId="166" fontId="57" fillId="0" borderId="1" xfId="2" applyNumberFormat="1" applyFont="1" applyFill="1" applyBorder="1" applyAlignment="1">
      <alignment horizontal="center" vertical="center" wrapText="1"/>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3" fontId="22" fillId="0" borderId="1" xfId="0" applyNumberFormat="1" applyFont="1" applyBorder="1" applyAlignment="1">
      <alignment horizontal="right" vertical="center"/>
    </xf>
    <xf numFmtId="3" fontId="48" fillId="0" borderId="1" xfId="0" applyNumberFormat="1" applyFont="1" applyBorder="1" applyAlignment="1">
      <alignment vertical="center"/>
    </xf>
    <xf numFmtId="0" fontId="57" fillId="0" borderId="3" xfId="0" applyFont="1" applyBorder="1" applyAlignment="1">
      <alignment horizontal="left" vertical="center"/>
    </xf>
    <xf numFmtId="0" fontId="2" fillId="0" borderId="3" xfId="0" applyFont="1" applyBorder="1" applyAlignment="1">
      <alignment vertical="center" wrapText="1"/>
    </xf>
    <xf numFmtId="0" fontId="23" fillId="4" borderId="10" xfId="0" applyFont="1" applyFill="1" applyBorder="1" applyAlignment="1">
      <alignment horizontal="left" vertical="center" wrapText="1"/>
    </xf>
    <xf numFmtId="3" fontId="27" fillId="0" borderId="30" xfId="0" applyNumberFormat="1" applyFont="1" applyBorder="1" applyAlignment="1">
      <alignment horizontal="right" vertical="center"/>
    </xf>
    <xf numFmtId="0" fontId="23" fillId="0" borderId="10" xfId="0" applyFont="1" applyBorder="1" applyAlignment="1">
      <alignment horizontal="left" vertical="center" wrapText="1"/>
    </xf>
    <xf numFmtId="0" fontId="23" fillId="0" borderId="1" xfId="0" applyFont="1" applyBorder="1" applyAlignment="1">
      <alignment horizontal="left" vertical="center"/>
    </xf>
    <xf numFmtId="3" fontId="2" fillId="0" borderId="1" xfId="0" applyNumberFormat="1" applyFont="1" applyBorder="1" applyAlignment="1">
      <alignment vertical="center"/>
    </xf>
    <xf numFmtId="0" fontId="29" fillId="22" borderId="22" xfId="0" applyFont="1" applyFill="1" applyBorder="1" applyAlignment="1">
      <alignment horizontal="center"/>
    </xf>
    <xf numFmtId="3" fontId="48" fillId="0" borderId="21" xfId="0" applyNumberFormat="1" applyFont="1" applyBorder="1" applyAlignment="1">
      <alignment vertical="center"/>
    </xf>
    <xf numFmtId="3" fontId="29" fillId="0" borderId="21" xfId="0" applyNumberFormat="1" applyFont="1" applyBorder="1"/>
    <xf numFmtId="0" fontId="29" fillId="22" borderId="1" xfId="0" applyFont="1" applyFill="1" applyBorder="1" applyAlignment="1">
      <alignment horizontal="center"/>
    </xf>
    <xf numFmtId="3" fontId="48" fillId="0" borderId="4" xfId="0" applyNumberFormat="1" applyFont="1" applyBorder="1" applyAlignment="1">
      <alignment vertical="center"/>
    </xf>
    <xf numFmtId="3" fontId="29" fillId="0" borderId="1" xfId="0" applyNumberFormat="1" applyFont="1" applyBorder="1"/>
    <xf numFmtId="0" fontId="37" fillId="0" borderId="1" xfId="0" applyFont="1" applyBorder="1" applyAlignment="1">
      <alignment horizontal="left" vertical="center" wrapText="1"/>
    </xf>
    <xf numFmtId="0" fontId="37" fillId="0" borderId="1" xfId="0" applyFont="1" applyBorder="1" applyAlignment="1">
      <alignment vertical="center"/>
    </xf>
    <xf numFmtId="164" fontId="37" fillId="0" borderId="1" xfId="1" applyNumberFormat="1" applyFont="1" applyBorder="1" applyAlignment="1">
      <alignment horizontal="center" vertical="center"/>
    </xf>
    <xf numFmtId="0" fontId="37" fillId="0" borderId="1" xfId="0" applyFont="1" applyBorder="1" applyAlignment="1">
      <alignment vertical="center" wrapText="1"/>
    </xf>
    <xf numFmtId="0" fontId="37" fillId="0" borderId="1" xfId="0" applyFont="1" applyBorder="1" applyAlignment="1">
      <alignment horizontal="left" vertical="center"/>
    </xf>
    <xf numFmtId="0" fontId="37" fillId="0" borderId="1" xfId="0" applyFont="1" applyBorder="1" applyAlignment="1">
      <alignment wrapText="1"/>
    </xf>
    <xf numFmtId="164" fontId="37" fillId="0" borderId="1" xfId="1" applyNumberFormat="1" applyFont="1" applyBorder="1" applyAlignment="1">
      <alignment vertical="center"/>
    </xf>
    <xf numFmtId="164" fontId="46" fillId="3" borderId="1" xfId="0" applyNumberFormat="1" applyFont="1" applyFill="1" applyBorder="1" applyAlignment="1">
      <alignment horizontal="right" vertical="center"/>
    </xf>
    <xf numFmtId="0" fontId="47" fillId="0" borderId="1" xfId="0" applyFont="1" applyBorder="1" applyAlignment="1">
      <alignment horizontal="center" vertical="center"/>
    </xf>
    <xf numFmtId="0" fontId="58" fillId="0" borderId="1" xfId="0" applyFont="1" applyBorder="1" applyAlignment="1">
      <alignment vertical="center"/>
    </xf>
    <xf numFmtId="0" fontId="58" fillId="0" borderId="1" xfId="0" applyFont="1" applyBorder="1" applyAlignment="1">
      <alignment vertical="center" wrapText="1"/>
    </xf>
    <xf numFmtId="0" fontId="58" fillId="0" borderId="1" xfId="0" applyFont="1" applyBorder="1" applyAlignment="1">
      <alignment horizontal="left" vertical="center" wrapText="1"/>
    </xf>
    <xf numFmtId="0" fontId="47" fillId="0" borderId="1" xfId="0" applyFont="1" applyBorder="1" applyAlignment="1">
      <alignment horizontal="left" vertical="center" wrapText="1"/>
    </xf>
    <xf numFmtId="164" fontId="47" fillId="0" borderId="1" xfId="1" applyNumberFormat="1" applyFont="1" applyFill="1" applyBorder="1" applyAlignment="1">
      <alignment horizontal="right" vertical="center" wrapText="1"/>
    </xf>
    <xf numFmtId="0" fontId="2" fillId="0" borderId="0" xfId="0" applyFont="1" applyAlignment="1">
      <alignment horizontal="right"/>
    </xf>
    <xf numFmtId="0" fontId="3" fillId="0" borderId="0" xfId="0" applyFont="1" applyAlignment="1">
      <alignment horizontal="right" wrapText="1"/>
    </xf>
    <xf numFmtId="0" fontId="2" fillId="0" borderId="1" xfId="0" applyFont="1" applyBorder="1" applyAlignment="1">
      <alignment wrapText="1"/>
    </xf>
    <xf numFmtId="164" fontId="2" fillId="0" borderId="0" xfId="0" applyNumberFormat="1" applyFont="1"/>
    <xf numFmtId="3" fontId="37" fillId="0" borderId="1" xfId="0" applyNumberFormat="1" applyFont="1" applyBorder="1" applyAlignment="1">
      <alignment horizontal="right" vertical="center"/>
    </xf>
    <xf numFmtId="164" fontId="2" fillId="0" borderId="0" xfId="0" applyNumberFormat="1" applyFont="1" applyAlignment="1">
      <alignment vertical="center"/>
    </xf>
    <xf numFmtId="0" fontId="61" fillId="0" borderId="0" xfId="7" applyFont="1" applyAlignment="1">
      <alignment horizontal="left"/>
    </xf>
    <xf numFmtId="0" fontId="61" fillId="0" borderId="0" xfId="7" applyFont="1" applyAlignment="1">
      <alignment horizontal="center"/>
    </xf>
    <xf numFmtId="0" fontId="3" fillId="0" borderId="0" xfId="0" applyFont="1"/>
    <xf numFmtId="0" fontId="3" fillId="0" borderId="0" xfId="7" applyFont="1"/>
    <xf numFmtId="0" fontId="62" fillId="0" borderId="0" xfId="6" applyFont="1"/>
    <xf numFmtId="0" fontId="27" fillId="0" borderId="1" xfId="0" applyFont="1" applyBorder="1" applyAlignment="1">
      <alignment vertical="center"/>
    </xf>
    <xf numFmtId="0" fontId="15" fillId="0" borderId="1" xfId="0" applyFont="1" applyBorder="1" applyAlignment="1">
      <alignment horizontal="left" vertical="center" wrapText="1"/>
    </xf>
    <xf numFmtId="0" fontId="29" fillId="0" borderId="0" xfId="0" applyFont="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20" borderId="4" xfId="0" applyFill="1" applyBorder="1" applyAlignment="1">
      <alignment horizontal="left" vertical="center" wrapText="1"/>
    </xf>
    <xf numFmtId="0" fontId="0" fillId="20" borderId="6" xfId="0" applyFill="1" applyBorder="1" applyAlignment="1">
      <alignment horizontal="left"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7" fillId="2" borderId="1" xfId="0" applyFont="1" applyFill="1" applyBorder="1" applyAlignment="1">
      <alignment horizontal="center" vertical="center"/>
    </xf>
    <xf numFmtId="0" fontId="12" fillId="0" borderId="1" xfId="0" applyFont="1" applyBorder="1" applyAlignment="1">
      <alignment horizontal="left" vertical="center" wrapText="1"/>
    </xf>
    <xf numFmtId="0" fontId="7" fillId="0" borderId="1" xfId="0" applyFont="1" applyBorder="1" applyAlignment="1">
      <alignment horizontal="right" vertical="center" wrapText="1"/>
    </xf>
    <xf numFmtId="0" fontId="7" fillId="11" borderId="4" xfId="0" applyFont="1" applyFill="1" applyBorder="1" applyAlignment="1">
      <alignment horizontal="left"/>
    </xf>
    <xf numFmtId="0" fontId="7" fillId="11" borderId="6" xfId="0" applyFont="1" applyFill="1" applyBorder="1" applyAlignment="1">
      <alignment horizontal="left"/>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0" borderId="0" xfId="0" applyFont="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11" borderId="15" xfId="0" applyFill="1" applyBorder="1" applyAlignment="1">
      <alignment horizont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3" fillId="3" borderId="4" xfId="0" applyFont="1" applyFill="1" applyBorder="1" applyAlignment="1">
      <alignment horizontal="right" vertical="center"/>
    </xf>
    <xf numFmtId="0" fontId="23" fillId="3" borderId="5" xfId="0" applyFont="1" applyFill="1" applyBorder="1" applyAlignment="1">
      <alignment horizontal="right" vertical="center"/>
    </xf>
    <xf numFmtId="0" fontId="23" fillId="3" borderId="6" xfId="0" applyFont="1" applyFill="1" applyBorder="1" applyAlignment="1">
      <alignment horizontal="right" vertical="center"/>
    </xf>
    <xf numFmtId="0" fontId="2" fillId="4" borderId="4" xfId="0" applyFont="1" applyFill="1" applyBorder="1" applyAlignment="1">
      <alignment horizontal="right" vertical="center"/>
    </xf>
    <xf numFmtId="0" fontId="2" fillId="4" borderId="5" xfId="0" applyFont="1" applyFill="1" applyBorder="1" applyAlignment="1">
      <alignment horizontal="right" vertical="center"/>
    </xf>
    <xf numFmtId="0" fontId="2" fillId="4" borderId="6" xfId="0" applyFont="1" applyFill="1" applyBorder="1" applyAlignment="1">
      <alignment horizontal="right" vertical="center"/>
    </xf>
    <xf numFmtId="0" fontId="22" fillId="4" borderId="4" xfId="0" applyFont="1" applyFill="1" applyBorder="1" applyAlignment="1">
      <alignment horizontal="right" vertical="center"/>
    </xf>
    <xf numFmtId="0" fontId="22" fillId="4" borderId="5" xfId="0" applyFont="1" applyFill="1" applyBorder="1" applyAlignment="1">
      <alignment horizontal="right" vertical="center"/>
    </xf>
    <xf numFmtId="0" fontId="22" fillId="4" borderId="6" xfId="0" applyFont="1" applyFill="1" applyBorder="1" applyAlignment="1">
      <alignment horizontal="right" vertical="center"/>
    </xf>
    <xf numFmtId="0" fontId="2" fillId="20" borderId="4" xfId="0" applyFont="1" applyFill="1" applyBorder="1" applyAlignment="1">
      <alignment horizontal="right" vertical="center"/>
    </xf>
    <xf numFmtId="0" fontId="2" fillId="20" borderId="5" xfId="0" applyFont="1" applyFill="1" applyBorder="1" applyAlignment="1">
      <alignment horizontal="right" vertical="center"/>
    </xf>
    <xf numFmtId="0" fontId="2" fillId="20" borderId="6" xfId="0" applyFont="1" applyFill="1" applyBorder="1" applyAlignment="1">
      <alignment horizontal="right" vertical="center"/>
    </xf>
    <xf numFmtId="0" fontId="5" fillId="0" borderId="0" xfId="0" applyFont="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1" xfId="0" applyFont="1" applyFill="1" applyBorder="1" applyAlignment="1">
      <alignment horizontal="center"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3" fillId="3" borderId="10" xfId="0" applyFont="1" applyFill="1" applyBorder="1" applyAlignment="1">
      <alignment horizontal="right" vertical="center" wrapText="1"/>
    </xf>
    <xf numFmtId="0" fontId="23" fillId="3" borderId="11" xfId="0" applyFont="1" applyFill="1" applyBorder="1" applyAlignment="1">
      <alignment horizontal="right" vertical="center" wrapText="1"/>
    </xf>
    <xf numFmtId="0" fontId="23" fillId="3" borderId="12" xfId="0" applyFont="1" applyFill="1" applyBorder="1" applyAlignment="1">
      <alignment horizontal="right" vertical="center" wrapText="1"/>
    </xf>
    <xf numFmtId="0" fontId="23" fillId="3" borderId="10" xfId="0" applyFont="1" applyFill="1" applyBorder="1" applyAlignment="1">
      <alignment horizontal="right" vertical="center"/>
    </xf>
    <xf numFmtId="0" fontId="23" fillId="3" borderId="11" xfId="0" applyFont="1" applyFill="1" applyBorder="1" applyAlignment="1">
      <alignment horizontal="right" vertical="center"/>
    </xf>
    <xf numFmtId="0" fontId="23" fillId="3" borderId="12" xfId="0" applyFont="1" applyFill="1" applyBorder="1" applyAlignment="1">
      <alignment horizontal="right" vertical="center"/>
    </xf>
    <xf numFmtId="3" fontId="27" fillId="0" borderId="2" xfId="0" applyNumberFormat="1" applyFont="1" applyBorder="1" applyAlignment="1">
      <alignment horizontal="right" vertical="center"/>
    </xf>
    <xf numFmtId="3" fontId="27" fillId="0" borderId="3" xfId="0" applyNumberFormat="1" applyFont="1" applyBorder="1" applyAlignment="1">
      <alignment horizontal="righ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166" fontId="27" fillId="0" borderId="2" xfId="2" applyNumberFormat="1" applyFont="1" applyBorder="1" applyAlignment="1">
      <alignment horizontal="center" vertical="center"/>
    </xf>
    <xf numFmtId="166" fontId="27" fillId="0" borderId="3" xfId="2" applyNumberFormat="1" applyFont="1" applyBorder="1" applyAlignment="1">
      <alignment horizontal="center" vertical="center"/>
    </xf>
    <xf numFmtId="3" fontId="27" fillId="0" borderId="7" xfId="0" applyNumberFormat="1" applyFont="1" applyBorder="1" applyAlignment="1">
      <alignment horizontal="right" vertical="center"/>
    </xf>
    <xf numFmtId="166" fontId="27" fillId="0" borderId="7" xfId="2"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2"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166" fontId="47" fillId="0" borderId="2" xfId="2" applyNumberFormat="1" applyFont="1" applyBorder="1" applyAlignment="1">
      <alignment horizontal="center" vertical="center" wrapText="1"/>
    </xf>
    <xf numFmtId="166" fontId="47" fillId="0" borderId="3" xfId="2"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3" fontId="2" fillId="0" borderId="7" xfId="0" applyNumberFormat="1" applyFont="1" applyBorder="1" applyAlignment="1">
      <alignment horizontal="right" vertical="center" wrapText="1"/>
    </xf>
    <xf numFmtId="166" fontId="47" fillId="0" borderId="7" xfId="2" applyNumberFormat="1"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left" vertical="center" wrapText="1"/>
    </xf>
    <xf numFmtId="3" fontId="27" fillId="0" borderId="1" xfId="0" applyNumberFormat="1" applyFont="1" applyBorder="1" applyAlignment="1">
      <alignment horizontal="right" vertical="center" wrapText="1"/>
    </xf>
    <xf numFmtId="166" fontId="27" fillId="0" borderId="4" xfId="2" applyNumberFormat="1" applyFont="1" applyBorder="1" applyAlignment="1">
      <alignment horizontal="center" vertical="center" wrapText="1"/>
    </xf>
    <xf numFmtId="166" fontId="27" fillId="0" borderId="1" xfId="2" applyNumberFormat="1" applyFont="1" applyBorder="1" applyAlignment="1">
      <alignment horizontal="center" vertical="center" wrapText="1"/>
    </xf>
    <xf numFmtId="0" fontId="2" fillId="0" borderId="7" xfId="0" applyFont="1" applyBorder="1" applyAlignment="1">
      <alignment horizontal="center" vertical="center" wrapText="1"/>
    </xf>
    <xf numFmtId="49" fontId="3" fillId="7" borderId="2" xfId="0" applyNumberFormat="1" applyFont="1" applyFill="1" applyBorder="1" applyAlignment="1">
      <alignment horizontal="left" vertical="center" wrapText="1"/>
    </xf>
    <xf numFmtId="49" fontId="3" fillId="7" borderId="7" xfId="0" applyNumberFormat="1"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0" fontId="2" fillId="0" borderId="1" xfId="0" applyFont="1" applyBorder="1" applyAlignment="1">
      <alignment horizontal="center" vertical="center"/>
    </xf>
    <xf numFmtId="49" fontId="3" fillId="7" borderId="1" xfId="0" applyNumberFormat="1" applyFont="1" applyFill="1" applyBorder="1" applyAlignment="1">
      <alignment horizontal="center" vertical="center" wrapText="1"/>
    </xf>
    <xf numFmtId="3" fontId="3" fillId="0" borderId="2" xfId="0" applyNumberFormat="1" applyFont="1" applyBorder="1" applyAlignment="1">
      <alignment horizontal="left" vertical="center" wrapText="1"/>
    </xf>
    <xf numFmtId="3" fontId="3" fillId="0" borderId="3" xfId="0" applyNumberFormat="1" applyFont="1" applyBorder="1" applyAlignment="1">
      <alignment horizontal="left" vertical="center" wrapText="1"/>
    </xf>
    <xf numFmtId="3" fontId="27" fillId="0" borderId="2" xfId="0" applyNumberFormat="1" applyFont="1" applyBorder="1" applyAlignment="1">
      <alignment horizontal="left" vertical="center" wrapText="1"/>
    </xf>
    <xf numFmtId="3" fontId="27" fillId="0" borderId="3" xfId="0" applyNumberFormat="1" applyFont="1" applyBorder="1" applyAlignment="1">
      <alignment horizontal="left" vertical="center" wrapText="1"/>
    </xf>
    <xf numFmtId="3" fontId="2" fillId="0" borderId="2" xfId="0" applyNumberFormat="1" applyFont="1" applyBorder="1" applyAlignment="1">
      <alignment horizontal="left" vertical="center" wrapText="1"/>
    </xf>
    <xf numFmtId="3" fontId="2" fillId="0" borderId="3" xfId="0" applyNumberFormat="1"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7" xfId="0" applyFont="1" applyBorder="1" applyAlignment="1">
      <alignment horizontal="left" vertical="center"/>
    </xf>
    <xf numFmtId="0" fontId="27" fillId="0" borderId="3"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37" fillId="0" borderId="7" xfId="0" applyFont="1" applyBorder="1" applyAlignment="1">
      <alignment horizontal="left" vertical="center" wrapText="1"/>
    </xf>
    <xf numFmtId="0" fontId="37" fillId="0" borderId="7" xfId="0" applyFont="1" applyBorder="1" applyAlignment="1">
      <alignment horizontal="left" vertical="center"/>
    </xf>
    <xf numFmtId="0" fontId="2" fillId="0" borderId="2" xfId="0" applyFont="1" applyBorder="1" applyAlignment="1">
      <alignment horizontal="left" vertical="center"/>
    </xf>
    <xf numFmtId="4" fontId="27" fillId="0" borderId="2" xfId="0" applyNumberFormat="1" applyFont="1" applyBorder="1" applyAlignment="1">
      <alignment horizontal="left" vertical="center" wrapText="1"/>
    </xf>
    <xf numFmtId="4" fontId="27" fillId="0" borderId="7" xfId="0" applyNumberFormat="1" applyFont="1" applyBorder="1" applyAlignment="1">
      <alignment horizontal="left" vertical="center" wrapText="1"/>
    </xf>
    <xf numFmtId="3" fontId="27" fillId="0" borderId="1" xfId="0" applyNumberFormat="1" applyFont="1" applyBorder="1" applyAlignment="1">
      <alignment horizontal="right" vertical="center"/>
    </xf>
    <xf numFmtId="166" fontId="27" fillId="0" borderId="1" xfId="2" applyNumberFormat="1" applyFont="1" applyBorder="1" applyAlignment="1">
      <alignment horizontal="center" vertical="center"/>
    </xf>
    <xf numFmtId="0" fontId="22" fillId="4" borderId="9" xfId="0" applyFont="1" applyFill="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4" fontId="27" fillId="0" borderId="19" xfId="0" applyNumberFormat="1" applyFont="1" applyBorder="1" applyAlignment="1">
      <alignment horizontal="center" vertical="center" wrapText="1"/>
    </xf>
    <xf numFmtId="4" fontId="27" fillId="0" borderId="29" xfId="0" applyNumberFormat="1" applyFont="1" applyBorder="1" applyAlignment="1">
      <alignment horizontal="center" vertical="center" wrapText="1"/>
    </xf>
    <xf numFmtId="4" fontId="27" fillId="0" borderId="30" xfId="0" applyNumberFormat="1" applyFont="1" applyBorder="1" applyAlignment="1">
      <alignment horizontal="center" vertical="center" wrapText="1"/>
    </xf>
    <xf numFmtId="0" fontId="23" fillId="3" borderId="1" xfId="0" applyFont="1" applyFill="1" applyBorder="1" applyAlignment="1">
      <alignment horizontal="right" vertical="center"/>
    </xf>
    <xf numFmtId="0" fontId="46" fillId="3" borderId="1" xfId="0" applyFont="1" applyFill="1" applyBorder="1" applyAlignment="1">
      <alignment horizontal="right" vertical="center"/>
    </xf>
    <xf numFmtId="0" fontId="3" fillId="0" borderId="1" xfId="0" applyFont="1" applyBorder="1" applyAlignment="1">
      <alignment horizontal="left" vertical="center" wrapText="1"/>
    </xf>
    <xf numFmtId="3" fontId="2" fillId="0" borderId="7" xfId="0" applyNumberFormat="1" applyFont="1" applyBorder="1" applyAlignment="1">
      <alignment horizontal="left" vertical="center" wrapText="1"/>
    </xf>
    <xf numFmtId="164" fontId="2" fillId="0" borderId="2"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right" wrapText="1"/>
    </xf>
    <xf numFmtId="0" fontId="5" fillId="0" borderId="0" xfId="0" applyFont="1" applyAlignment="1">
      <alignment horizontal="center" vertical="top"/>
    </xf>
    <xf numFmtId="0" fontId="23" fillId="5" borderId="1" xfId="0" applyFont="1" applyFill="1" applyBorder="1" applyAlignment="1">
      <alignment horizontal="center" vertical="center" wrapText="1"/>
    </xf>
    <xf numFmtId="0" fontId="23" fillId="4" borderId="4" xfId="0" applyFont="1" applyFill="1" applyBorder="1" applyAlignment="1">
      <alignment horizontal="right" vertical="center"/>
    </xf>
    <xf numFmtId="0" fontId="23" fillId="4" borderId="5" xfId="0" applyFont="1" applyFill="1" applyBorder="1" applyAlignment="1">
      <alignment horizontal="right" vertical="center"/>
    </xf>
    <xf numFmtId="0" fontId="23" fillId="4" borderId="6" xfId="0" applyFont="1" applyFill="1" applyBorder="1" applyAlignment="1">
      <alignment horizontal="right" vertical="center"/>
    </xf>
    <xf numFmtId="49" fontId="3" fillId="7" borderId="2" xfId="0" applyNumberFormat="1" applyFont="1" applyFill="1" applyBorder="1" applyAlignment="1">
      <alignment horizontal="center" vertical="center" wrapText="1"/>
    </xf>
    <xf numFmtId="49" fontId="3" fillId="7" borderId="7" xfId="0" applyNumberFormat="1"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36" fillId="16" borderId="9" xfId="4" applyFill="1" applyBorder="1" applyAlignment="1">
      <alignment horizontal="center" wrapText="1"/>
    </xf>
    <xf numFmtId="0" fontId="38" fillId="12" borderId="0" xfId="4" applyFont="1" applyFill="1" applyAlignment="1">
      <alignment horizontal="center"/>
    </xf>
    <xf numFmtId="0" fontId="38" fillId="17" borderId="0" xfId="4" applyFont="1" applyFill="1" applyAlignment="1">
      <alignment horizontal="center"/>
    </xf>
    <xf numFmtId="0" fontId="36" fillId="18" borderId="0" xfId="4" applyFill="1" applyAlignment="1">
      <alignment horizontal="center" wrapText="1"/>
    </xf>
    <xf numFmtId="0" fontId="38" fillId="14" borderId="0" xfId="4" applyFont="1" applyFill="1" applyAlignment="1">
      <alignment horizontal="center" wrapText="1"/>
    </xf>
    <xf numFmtId="0" fontId="36" fillId="19" borderId="0" xfId="4" applyFill="1" applyAlignment="1">
      <alignment horizontal="center" wrapText="1"/>
    </xf>
    <xf numFmtId="0" fontId="36" fillId="6" borderId="0" xfId="4" applyFill="1" applyAlignment="1">
      <alignment horizontal="center" wrapText="1"/>
    </xf>
  </cellXfs>
  <cellStyles count="8">
    <cellStyle name="Comma" xfId="1" builtinId="3"/>
    <cellStyle name="Comma 2" xfId="3" xr:uid="{EE5BD59C-9DE2-4319-850B-7121954635E5}"/>
    <cellStyle name="Hyperlink" xfId="6" builtinId="8"/>
    <cellStyle name="Normal" xfId="0" builtinId="0"/>
    <cellStyle name="Normal 2" xfId="4" xr:uid="{42FE4872-9813-4B1E-9337-FA27640BA4DE}"/>
    <cellStyle name="Normal 2 4" xfId="7" xr:uid="{83E572F9-110B-4A29-8566-525BB389275C}"/>
    <cellStyle name="Percent" xfId="2" builtinId="5"/>
    <cellStyle name="SAPBEXHLevel0" xfId="5" xr:uid="{DC88F018-35FF-4B43-94E3-6384A0454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Grafiks!$B$104:$B$105</c:f>
              <c:strCache>
                <c:ptCount val="2"/>
                <c:pt idx="0">
                  <c:v>Samazinājuma apmērs 8,6% 2026. gadam (FM aprēķini)</c:v>
                </c:pt>
              </c:strCache>
            </c:strRef>
          </c:tx>
          <c:spPr>
            <a:solidFill>
              <a:schemeClr val="accent1"/>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Grafiks!$B$106:$B$124</c:f>
              <c:numCache>
                <c:formatCode>#\ ##0.0</c:formatCode>
                <c:ptCount val="19"/>
                <c:pt idx="0">
                  <c:v>1.2718390672337034</c:v>
                </c:pt>
                <c:pt idx="1">
                  <c:v>1.4915182369331916</c:v>
                </c:pt>
                <c:pt idx="2">
                  <c:v>0.44779485017662995</c:v>
                </c:pt>
                <c:pt idx="3">
                  <c:v>0.43919853702815337</c:v>
                </c:pt>
                <c:pt idx="4">
                  <c:v>3.8360467504088116</c:v>
                </c:pt>
                <c:pt idx="5">
                  <c:v>9.5521582816634591</c:v>
                </c:pt>
                <c:pt idx="6">
                  <c:v>17.108349689786596</c:v>
                </c:pt>
                <c:pt idx="7">
                  <c:v>0.52127533362444178</c:v>
                </c:pt>
                <c:pt idx="8">
                  <c:v>22.389504795674725</c:v>
                </c:pt>
                <c:pt idx="9">
                  <c:v>7.4803730263613479</c:v>
                </c:pt>
                <c:pt idx="10">
                  <c:v>23.220237849936883</c:v>
                </c:pt>
                <c:pt idx="11">
                  <c:v>2.1927943906385092</c:v>
                </c:pt>
                <c:pt idx="12">
                  <c:v>2.2157986722213567</c:v>
                </c:pt>
                <c:pt idx="13">
                  <c:v>15.947438099421422</c:v>
                </c:pt>
                <c:pt idx="14">
                  <c:v>2.4929773104489708</c:v>
                </c:pt>
                <c:pt idx="15">
                  <c:v>3.5352906508669832</c:v>
                </c:pt>
                <c:pt idx="16">
                  <c:v>13.618408168829827</c:v>
                </c:pt>
                <c:pt idx="17">
                  <c:v>4.5965012292122385</c:v>
                </c:pt>
                <c:pt idx="18">
                  <c:v>7.6424950595327488</c:v>
                </c:pt>
              </c:numCache>
            </c:numRef>
          </c:val>
          <c:extLst>
            <c:ext xmlns:c16="http://schemas.microsoft.com/office/drawing/2014/chart" uri="{C3380CC4-5D6E-409C-BE32-E72D297353CC}">
              <c16:uniqueId val="{00000000-C6E7-463E-824F-B69887AE486B}"/>
            </c:ext>
          </c:extLst>
        </c:ser>
        <c:ser>
          <c:idx val="1"/>
          <c:order val="1"/>
          <c:tx>
            <c:strRef>
              <c:f>Grafiks!$C$104:$C$105</c:f>
              <c:strCache>
                <c:ptCount val="2"/>
                <c:pt idx="0">
                  <c:v>Ministriju iesniegtais izdevumu samazinājums 2026. gadam</c:v>
                </c:pt>
              </c:strCache>
            </c:strRef>
          </c:tx>
          <c:spPr>
            <a:solidFill>
              <a:schemeClr val="accent2"/>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Grafiks!$C$106:$C$124</c:f>
              <c:numCache>
                <c:formatCode>#\ ##0.0</c:formatCode>
                <c:ptCount val="19"/>
                <c:pt idx="0">
                  <c:v>1.2718389999999999</c:v>
                </c:pt>
                <c:pt idx="1">
                  <c:v>1.2764690000000001</c:v>
                </c:pt>
                <c:pt idx="2">
                  <c:v>0.22389800000000001</c:v>
                </c:pt>
                <c:pt idx="3">
                  <c:v>0.43919900000000001</c:v>
                </c:pt>
                <c:pt idx="4">
                  <c:v>3.8360470000000002</c:v>
                </c:pt>
                <c:pt idx="5">
                  <c:v>9.5521580000000004</c:v>
                </c:pt>
                <c:pt idx="6">
                  <c:v>17.108350000000002</c:v>
                </c:pt>
                <c:pt idx="7">
                  <c:v>0.52127500000000004</c:v>
                </c:pt>
                <c:pt idx="8">
                  <c:v>8.0810469999999999</c:v>
                </c:pt>
                <c:pt idx="9">
                  <c:v>6.9893455379999994</c:v>
                </c:pt>
                <c:pt idx="10">
                  <c:v>18.087021</c:v>
                </c:pt>
                <c:pt idx="11">
                  <c:v>2.1927940000000001</c:v>
                </c:pt>
                <c:pt idx="12">
                  <c:v>2.2157990000000001</c:v>
                </c:pt>
                <c:pt idx="13">
                  <c:v>12.111241</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1-C6E7-463E-824F-B69887AE486B}"/>
            </c:ext>
          </c:extLst>
        </c:ser>
        <c:ser>
          <c:idx val="2"/>
          <c:order val="2"/>
          <c:tx>
            <c:strRef>
              <c:f>Grafiks!$D$104:$D$105</c:f>
              <c:strCache>
                <c:ptCount val="2"/>
                <c:pt idx="0">
                  <c:v>Ministriju iesniegtais izdevumu samazinājums 2026. gadam</c:v>
                </c:pt>
                <c:pt idx="1">
                  <c:v>2027</c:v>
                </c:pt>
              </c:strCache>
            </c:strRef>
          </c:tx>
          <c:spPr>
            <a:solidFill>
              <a:schemeClr val="accent3"/>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Grafiks!$D$106:$D$124</c:f>
              <c:numCache>
                <c:formatCode>#\ ##0.0</c:formatCode>
                <c:ptCount val="19"/>
                <c:pt idx="0">
                  <c:v>1.2718389999999999</c:v>
                </c:pt>
                <c:pt idx="1">
                  <c:v>1.656353</c:v>
                </c:pt>
                <c:pt idx="2">
                  <c:v>0.22389800000000001</c:v>
                </c:pt>
                <c:pt idx="3">
                  <c:v>0.43919900000000001</c:v>
                </c:pt>
                <c:pt idx="4">
                  <c:v>3.8360470000000002</c:v>
                </c:pt>
                <c:pt idx="5">
                  <c:v>9.5521580000000004</c:v>
                </c:pt>
                <c:pt idx="6">
                  <c:v>17.108350000000002</c:v>
                </c:pt>
                <c:pt idx="7">
                  <c:v>0.52127500000000004</c:v>
                </c:pt>
                <c:pt idx="8">
                  <c:v>7.9188510000000001</c:v>
                </c:pt>
                <c:pt idx="9">
                  <c:v>6.9893455379999994</c:v>
                </c:pt>
                <c:pt idx="10">
                  <c:v>18.091557000000002</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2-C6E7-463E-824F-B69887AE486B}"/>
            </c:ext>
          </c:extLst>
        </c:ser>
        <c:ser>
          <c:idx val="3"/>
          <c:order val="3"/>
          <c:tx>
            <c:strRef>
              <c:f>Grafiks!$E$104:$E$105</c:f>
              <c:strCache>
                <c:ptCount val="2"/>
                <c:pt idx="0">
                  <c:v>Ministriju iesniegtais izdevumu samazinājums 2026. gadam</c:v>
                </c:pt>
                <c:pt idx="1">
                  <c:v>2028</c:v>
                </c:pt>
              </c:strCache>
            </c:strRef>
          </c:tx>
          <c:spPr>
            <a:solidFill>
              <a:schemeClr val="accent4"/>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Grafiks!$E$106:$E$124</c:f>
              <c:numCache>
                <c:formatCode>#\ ##0.0</c:formatCode>
                <c:ptCount val="19"/>
                <c:pt idx="0">
                  <c:v>1.2718389999999999</c:v>
                </c:pt>
                <c:pt idx="1">
                  <c:v>2.036238</c:v>
                </c:pt>
                <c:pt idx="2">
                  <c:v>0.22389800000000001</c:v>
                </c:pt>
                <c:pt idx="3">
                  <c:v>0.43919900000000001</c:v>
                </c:pt>
                <c:pt idx="4">
                  <c:v>3.8360470000000002</c:v>
                </c:pt>
                <c:pt idx="5">
                  <c:v>9.5521580000000004</c:v>
                </c:pt>
                <c:pt idx="6">
                  <c:v>17.108350000000002</c:v>
                </c:pt>
                <c:pt idx="7">
                  <c:v>0.52127500000000004</c:v>
                </c:pt>
                <c:pt idx="8">
                  <c:v>7.9188510000000001</c:v>
                </c:pt>
                <c:pt idx="9">
                  <c:v>6.9893455379999994</c:v>
                </c:pt>
                <c:pt idx="10">
                  <c:v>18.096254999999999</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3-C6E7-463E-824F-B69887AE486B}"/>
            </c:ext>
          </c:extLst>
        </c:ser>
        <c:ser>
          <c:idx val="4"/>
          <c:order val="4"/>
          <c:tx>
            <c:strRef>
              <c:f>Grafiks!$F$104:$F$105</c:f>
              <c:strCache>
                <c:ptCount val="2"/>
                <c:pt idx="0">
                  <c:v>Ministriju iesniegtais izdevumu samazinājums 2026. gadam</c:v>
                </c:pt>
                <c:pt idx="1">
                  <c:v>2029</c:v>
                </c:pt>
              </c:strCache>
            </c:strRef>
          </c:tx>
          <c:spPr>
            <a:solidFill>
              <a:schemeClr val="accent5"/>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Grafiks!$F$106:$F$124</c:f>
              <c:numCache>
                <c:formatCode>#\ ##0.0</c:formatCode>
                <c:ptCount val="19"/>
                <c:pt idx="0">
                  <c:v>1.2718389999999999</c:v>
                </c:pt>
                <c:pt idx="1">
                  <c:v>2.036238</c:v>
                </c:pt>
                <c:pt idx="2">
                  <c:v>0.22389800000000001</c:v>
                </c:pt>
                <c:pt idx="3">
                  <c:v>0.43919900000000001</c:v>
                </c:pt>
                <c:pt idx="4">
                  <c:v>3.5298039999999999</c:v>
                </c:pt>
                <c:pt idx="5">
                  <c:v>9.5521580000000004</c:v>
                </c:pt>
                <c:pt idx="6">
                  <c:v>17.108350000000002</c:v>
                </c:pt>
                <c:pt idx="7">
                  <c:v>0.52127500000000004</c:v>
                </c:pt>
                <c:pt idx="8">
                  <c:v>7.9188510000000001</c:v>
                </c:pt>
                <c:pt idx="9">
                  <c:v>6.9893455379999994</c:v>
                </c:pt>
                <c:pt idx="10">
                  <c:v>18.101119000000001</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4-C6E7-463E-824F-B69887AE486B}"/>
            </c:ext>
          </c:extLst>
        </c:ser>
        <c:dLbls>
          <c:showLegendKey val="0"/>
          <c:showVal val="0"/>
          <c:showCatName val="0"/>
          <c:showSerName val="0"/>
          <c:showPercent val="0"/>
          <c:showBubbleSize val="0"/>
        </c:dLbls>
        <c:gapWidth val="219"/>
        <c:overlap val="-27"/>
        <c:axId val="729179359"/>
        <c:axId val="729182239"/>
      </c:barChart>
      <c:catAx>
        <c:axId val="729179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29182239"/>
        <c:crosses val="autoZero"/>
        <c:auto val="1"/>
        <c:lblAlgn val="ctr"/>
        <c:lblOffset val="100"/>
        <c:noMultiLvlLbl val="0"/>
      </c:catAx>
      <c:valAx>
        <c:axId val="729182239"/>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29179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Grafiks!$B$104</c:f>
              <c:strCache>
                <c:ptCount val="1"/>
                <c:pt idx="0">
                  <c:v>Samazinājuma apmērs 8,6% 2026. gadam (FM aprēķini)</c:v>
                </c:pt>
              </c:strCache>
            </c:strRef>
          </c:tx>
          <c:spPr>
            <a:solidFill>
              <a:schemeClr val="accent1"/>
            </a:solidFill>
            <a:ln>
              <a:noFill/>
            </a:ln>
            <a:effectLst/>
          </c:spPr>
          <c:invertIfNegative val="0"/>
          <c:cat>
            <c:strRef>
              <c:f>Grafiks!$A$105:$A$124</c:f>
              <c:strCache>
                <c:ptCount val="20"/>
                <c:pt idx="1">
                  <c:v>MK</c:v>
                </c:pt>
                <c:pt idx="2">
                  <c:v>KNAB</c:v>
                </c:pt>
                <c:pt idx="3">
                  <c:v>SIF</c:v>
                </c:pt>
                <c:pt idx="4">
                  <c:v>AiM</c:v>
                </c:pt>
                <c:pt idx="5">
                  <c:v>ĀM</c:v>
                </c:pt>
                <c:pt idx="6">
                  <c:v>EM</c:v>
                </c:pt>
                <c:pt idx="7">
                  <c:v>FM</c:v>
                </c:pt>
                <c:pt idx="8">
                  <c:v>IeM</c:v>
                </c:pt>
                <c:pt idx="9">
                  <c:v>IZM</c:v>
                </c:pt>
                <c:pt idx="10">
                  <c:v>ZM</c:v>
                </c:pt>
                <c:pt idx="11">
                  <c:v>SM</c:v>
                </c:pt>
                <c:pt idx="12">
                  <c:v>LM (PB)</c:v>
                </c:pt>
                <c:pt idx="13">
                  <c:v>LM (SB)</c:v>
                </c:pt>
                <c:pt idx="14">
                  <c:v>TM</c:v>
                </c:pt>
                <c:pt idx="15">
                  <c:v>KEM</c:v>
                </c:pt>
                <c:pt idx="16">
                  <c:v>VARAM</c:v>
                </c:pt>
                <c:pt idx="17">
                  <c:v>KM</c:v>
                </c:pt>
                <c:pt idx="18">
                  <c:v>VM</c:v>
                </c:pt>
                <c:pt idx="19">
                  <c:v>74. resors</c:v>
                </c:pt>
              </c:strCache>
            </c:strRef>
          </c:cat>
          <c:val>
            <c:numRef>
              <c:f>Grafiks!$B$105:$B$124</c:f>
              <c:numCache>
                <c:formatCode>#\ ##0.0</c:formatCode>
                <c:ptCount val="20"/>
                <c:pt idx="1">
                  <c:v>1.2718390672337034</c:v>
                </c:pt>
                <c:pt idx="2">
                  <c:v>1.4915182369331916</c:v>
                </c:pt>
                <c:pt idx="3">
                  <c:v>0.44779485017662995</c:v>
                </c:pt>
                <c:pt idx="4">
                  <c:v>0.43919853702815337</c:v>
                </c:pt>
                <c:pt idx="5">
                  <c:v>3.8360467504088116</c:v>
                </c:pt>
                <c:pt idx="6">
                  <c:v>9.5521582816634591</c:v>
                </c:pt>
                <c:pt idx="7">
                  <c:v>17.108349689786596</c:v>
                </c:pt>
                <c:pt idx="8">
                  <c:v>0.52127533362444178</c:v>
                </c:pt>
                <c:pt idx="9">
                  <c:v>22.389504795674725</c:v>
                </c:pt>
                <c:pt idx="10">
                  <c:v>7.4803730263613479</c:v>
                </c:pt>
                <c:pt idx="11">
                  <c:v>23.220237849936883</c:v>
                </c:pt>
                <c:pt idx="12">
                  <c:v>2.1927943906385092</c:v>
                </c:pt>
                <c:pt idx="13">
                  <c:v>2.2157986722213567</c:v>
                </c:pt>
                <c:pt idx="14">
                  <c:v>15.947438099421422</c:v>
                </c:pt>
                <c:pt idx="15">
                  <c:v>2.4929773104489708</c:v>
                </c:pt>
                <c:pt idx="16">
                  <c:v>3.5352906508669832</c:v>
                </c:pt>
                <c:pt idx="17">
                  <c:v>13.618408168829827</c:v>
                </c:pt>
                <c:pt idx="18">
                  <c:v>4.5965012292122385</c:v>
                </c:pt>
                <c:pt idx="19">
                  <c:v>7.6424950595327488</c:v>
                </c:pt>
              </c:numCache>
            </c:numRef>
          </c:val>
          <c:extLst>
            <c:ext xmlns:c16="http://schemas.microsoft.com/office/drawing/2014/chart" uri="{C3380CC4-5D6E-409C-BE32-E72D297353CC}">
              <c16:uniqueId val="{00000000-BFE8-4035-94B4-62F0112EAB71}"/>
            </c:ext>
          </c:extLst>
        </c:ser>
        <c:ser>
          <c:idx val="1"/>
          <c:order val="1"/>
          <c:tx>
            <c:strRef>
              <c:f>Grafiks!$C$104</c:f>
              <c:strCache>
                <c:ptCount val="1"/>
                <c:pt idx="0">
                  <c:v>Ministriju iesniegtais izdevumu samazinājums 2026. gadam</c:v>
                </c:pt>
              </c:strCache>
            </c:strRef>
          </c:tx>
          <c:spPr>
            <a:solidFill>
              <a:schemeClr val="accent2"/>
            </a:solidFill>
            <a:ln>
              <a:noFill/>
            </a:ln>
            <a:effectLst/>
          </c:spPr>
          <c:invertIfNegative val="0"/>
          <c:cat>
            <c:strRef>
              <c:f>Grafiks!$A$105:$A$124</c:f>
              <c:strCache>
                <c:ptCount val="20"/>
                <c:pt idx="1">
                  <c:v>MK</c:v>
                </c:pt>
                <c:pt idx="2">
                  <c:v>KNAB</c:v>
                </c:pt>
                <c:pt idx="3">
                  <c:v>SIF</c:v>
                </c:pt>
                <c:pt idx="4">
                  <c:v>AiM</c:v>
                </c:pt>
                <c:pt idx="5">
                  <c:v>ĀM</c:v>
                </c:pt>
                <c:pt idx="6">
                  <c:v>EM</c:v>
                </c:pt>
                <c:pt idx="7">
                  <c:v>FM</c:v>
                </c:pt>
                <c:pt idx="8">
                  <c:v>IeM</c:v>
                </c:pt>
                <c:pt idx="9">
                  <c:v>IZM</c:v>
                </c:pt>
                <c:pt idx="10">
                  <c:v>ZM</c:v>
                </c:pt>
                <c:pt idx="11">
                  <c:v>SM</c:v>
                </c:pt>
                <c:pt idx="12">
                  <c:v>LM (PB)</c:v>
                </c:pt>
                <c:pt idx="13">
                  <c:v>LM (SB)</c:v>
                </c:pt>
                <c:pt idx="14">
                  <c:v>TM</c:v>
                </c:pt>
                <c:pt idx="15">
                  <c:v>KEM</c:v>
                </c:pt>
                <c:pt idx="16">
                  <c:v>VARAM</c:v>
                </c:pt>
                <c:pt idx="17">
                  <c:v>KM</c:v>
                </c:pt>
                <c:pt idx="18">
                  <c:v>VM</c:v>
                </c:pt>
                <c:pt idx="19">
                  <c:v>74. resors</c:v>
                </c:pt>
              </c:strCache>
            </c:strRef>
          </c:cat>
          <c:val>
            <c:numRef>
              <c:f>Grafiks!$C$105:$C$124</c:f>
              <c:numCache>
                <c:formatCode>#\ ##0.0</c:formatCode>
                <c:ptCount val="20"/>
                <c:pt idx="1">
                  <c:v>1.2718389999999999</c:v>
                </c:pt>
                <c:pt idx="2">
                  <c:v>1.2764690000000001</c:v>
                </c:pt>
                <c:pt idx="3">
                  <c:v>0.22389800000000001</c:v>
                </c:pt>
                <c:pt idx="4">
                  <c:v>0.43919900000000001</c:v>
                </c:pt>
                <c:pt idx="5">
                  <c:v>3.8360470000000002</c:v>
                </c:pt>
                <c:pt idx="6">
                  <c:v>9.5521580000000004</c:v>
                </c:pt>
                <c:pt idx="7">
                  <c:v>17.108350000000002</c:v>
                </c:pt>
                <c:pt idx="8">
                  <c:v>0.52127500000000004</c:v>
                </c:pt>
                <c:pt idx="9">
                  <c:v>8.0810469999999999</c:v>
                </c:pt>
                <c:pt idx="10">
                  <c:v>6.9893455379999994</c:v>
                </c:pt>
                <c:pt idx="11">
                  <c:v>18.087021</c:v>
                </c:pt>
                <c:pt idx="12">
                  <c:v>2.1927940000000001</c:v>
                </c:pt>
                <c:pt idx="13">
                  <c:v>2.2157990000000001</c:v>
                </c:pt>
                <c:pt idx="14">
                  <c:v>12.111241</c:v>
                </c:pt>
                <c:pt idx="15">
                  <c:v>2.4929770000000002</c:v>
                </c:pt>
                <c:pt idx="16">
                  <c:v>3.535291</c:v>
                </c:pt>
                <c:pt idx="17">
                  <c:v>1.9521980000000001</c:v>
                </c:pt>
                <c:pt idx="18">
                  <c:v>4.5965009999999999</c:v>
                </c:pt>
                <c:pt idx="19">
                  <c:v>7.6424950000000003</c:v>
                </c:pt>
              </c:numCache>
            </c:numRef>
          </c:val>
          <c:extLst>
            <c:ext xmlns:c16="http://schemas.microsoft.com/office/drawing/2014/chart" uri="{C3380CC4-5D6E-409C-BE32-E72D297353CC}">
              <c16:uniqueId val="{00000001-BFE8-4035-94B4-62F0112EAB71}"/>
            </c:ext>
          </c:extLst>
        </c:ser>
        <c:dLbls>
          <c:showLegendKey val="0"/>
          <c:showVal val="0"/>
          <c:showCatName val="0"/>
          <c:showSerName val="0"/>
          <c:showPercent val="0"/>
          <c:showBubbleSize val="0"/>
        </c:dLbls>
        <c:gapWidth val="219"/>
        <c:overlap val="-27"/>
        <c:axId val="818103599"/>
        <c:axId val="818104079"/>
      </c:barChart>
      <c:catAx>
        <c:axId val="818103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818104079"/>
        <c:crosses val="autoZero"/>
        <c:auto val="1"/>
        <c:lblAlgn val="ctr"/>
        <c:lblOffset val="100"/>
        <c:noMultiLvlLbl val="0"/>
      </c:catAx>
      <c:valAx>
        <c:axId val="8181040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818103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Komunikatori!$F$5</c:f>
              <c:strCache>
                <c:ptCount val="1"/>
                <c:pt idx="0">
                  <c:v>Amatu skaits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Komunikatori!$E$6:$E$21</c:f>
              <c:strCache>
                <c:ptCount val="16"/>
                <c:pt idx="0">
                  <c:v>AiM</c:v>
                </c:pt>
                <c:pt idx="1">
                  <c:v>IZM</c:v>
                </c:pt>
                <c:pt idx="2">
                  <c:v>MK</c:v>
                </c:pt>
                <c:pt idx="3">
                  <c:v>ĀM</c:v>
                </c:pt>
                <c:pt idx="4">
                  <c:v>FM</c:v>
                </c:pt>
                <c:pt idx="5">
                  <c:v>KEM</c:v>
                </c:pt>
                <c:pt idx="6">
                  <c:v>SM</c:v>
                </c:pt>
                <c:pt idx="7">
                  <c:v>VARAM</c:v>
                </c:pt>
                <c:pt idx="8">
                  <c:v>VM</c:v>
                </c:pt>
                <c:pt idx="9">
                  <c:v>IeM</c:v>
                </c:pt>
                <c:pt idx="10">
                  <c:v>LM</c:v>
                </c:pt>
                <c:pt idx="11">
                  <c:v>ZM</c:v>
                </c:pt>
                <c:pt idx="12">
                  <c:v>KNAB</c:v>
                </c:pt>
                <c:pt idx="13">
                  <c:v>EM</c:v>
                </c:pt>
                <c:pt idx="14">
                  <c:v>KM</c:v>
                </c:pt>
                <c:pt idx="15">
                  <c:v>TM</c:v>
                </c:pt>
              </c:strCache>
            </c:strRef>
          </c:cat>
          <c:val>
            <c:numRef>
              <c:f>Komunikatori!$F$6:$F$21</c:f>
              <c:numCache>
                <c:formatCode>General</c:formatCode>
                <c:ptCount val="16"/>
                <c:pt idx="0">
                  <c:v>17</c:v>
                </c:pt>
                <c:pt idx="1">
                  <c:v>11</c:v>
                </c:pt>
                <c:pt idx="2">
                  <c:v>8</c:v>
                </c:pt>
                <c:pt idx="3">
                  <c:v>7</c:v>
                </c:pt>
                <c:pt idx="4">
                  <c:v>7</c:v>
                </c:pt>
                <c:pt idx="5">
                  <c:v>5</c:v>
                </c:pt>
                <c:pt idx="6">
                  <c:v>5</c:v>
                </c:pt>
                <c:pt idx="7">
                  <c:v>5</c:v>
                </c:pt>
                <c:pt idx="8">
                  <c:v>5</c:v>
                </c:pt>
                <c:pt idx="9">
                  <c:v>4</c:v>
                </c:pt>
                <c:pt idx="10">
                  <c:v>4</c:v>
                </c:pt>
                <c:pt idx="11">
                  <c:v>4</c:v>
                </c:pt>
                <c:pt idx="12">
                  <c:v>3</c:v>
                </c:pt>
                <c:pt idx="13">
                  <c:v>3</c:v>
                </c:pt>
                <c:pt idx="14">
                  <c:v>3</c:v>
                </c:pt>
                <c:pt idx="15">
                  <c:v>3</c:v>
                </c:pt>
              </c:numCache>
            </c:numRef>
          </c:val>
          <c:extLst>
            <c:ext xmlns:c16="http://schemas.microsoft.com/office/drawing/2014/chart" uri="{C3380CC4-5D6E-409C-BE32-E72D297353CC}">
              <c16:uniqueId val="{00000000-EA1C-4675-93F8-D9E00D449D38}"/>
            </c:ext>
          </c:extLst>
        </c:ser>
        <c:dLbls>
          <c:showLegendKey val="0"/>
          <c:showVal val="0"/>
          <c:showCatName val="0"/>
          <c:showSerName val="0"/>
          <c:showPercent val="0"/>
          <c:showBubbleSize val="0"/>
        </c:dLbls>
        <c:gapWidth val="219"/>
        <c:overlap val="-27"/>
        <c:axId val="281994256"/>
        <c:axId val="281995216"/>
      </c:barChart>
      <c:catAx>
        <c:axId val="28199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1995216"/>
        <c:crosses val="autoZero"/>
        <c:auto val="1"/>
        <c:lblAlgn val="ctr"/>
        <c:lblOffset val="100"/>
        <c:noMultiLvlLbl val="0"/>
      </c:catAx>
      <c:valAx>
        <c:axId val="281995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1994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887015</xdr:colOff>
      <xdr:row>106</xdr:row>
      <xdr:rowOff>15476</xdr:rowOff>
    </xdr:from>
    <xdr:to>
      <xdr:col>23</xdr:col>
      <xdr:colOff>511969</xdr:colOff>
      <xdr:row>133</xdr:row>
      <xdr:rowOff>23811</xdr:rowOff>
    </xdr:to>
    <xdr:graphicFrame macro="">
      <xdr:nvGraphicFramePr>
        <xdr:cNvPr id="2" name="Chart 1">
          <a:extLst>
            <a:ext uri="{FF2B5EF4-FFF2-40B4-BE49-F238E27FC236}">
              <a16:creationId xmlns:a16="http://schemas.microsoft.com/office/drawing/2014/main" id="{6D1CD93C-030C-ECF1-59DC-9B2EC168A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125014</xdr:colOff>
      <xdr:row>95</xdr:row>
      <xdr:rowOff>122632</xdr:rowOff>
    </xdr:from>
    <xdr:to>
      <xdr:col>21</xdr:col>
      <xdr:colOff>190499</xdr:colOff>
      <xdr:row>113</xdr:row>
      <xdr:rowOff>190499</xdr:rowOff>
    </xdr:to>
    <xdr:graphicFrame macro="">
      <xdr:nvGraphicFramePr>
        <xdr:cNvPr id="4" name="Chart 3">
          <a:extLst>
            <a:ext uri="{FF2B5EF4-FFF2-40B4-BE49-F238E27FC236}">
              <a16:creationId xmlns:a16="http://schemas.microsoft.com/office/drawing/2014/main" id="{D3653F67-5990-7403-7F53-2498231228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22</xdr:row>
      <xdr:rowOff>111125</xdr:rowOff>
    </xdr:from>
    <xdr:to>
      <xdr:col>11</xdr:col>
      <xdr:colOff>333375</xdr:colOff>
      <xdr:row>38</xdr:row>
      <xdr:rowOff>9525</xdr:rowOff>
    </xdr:to>
    <xdr:graphicFrame macro="">
      <xdr:nvGraphicFramePr>
        <xdr:cNvPr id="2" name="Chart 1">
          <a:extLst>
            <a:ext uri="{FF2B5EF4-FFF2-40B4-BE49-F238E27FC236}">
              <a16:creationId xmlns:a16="http://schemas.microsoft.com/office/drawing/2014/main" id="{B8DF5736-29D8-4612-9BF7-357BF7897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d-seile\AppData\Local\Microsoft\Windows\INetCache\Content.Outlook\660QZQ4K\Paklaujamie_izdevumi_300525.xlsx" TargetMode="External"/><Relationship Id="rId1" Type="http://schemas.openxmlformats.org/officeDocument/2006/relationships/externalLinkPath" Target="file:///C:\Users\bd-seile\AppData\Local\Microsoft\Windows\INetCache\Content.Outlook\660QZQ4K\Paklaujamie_izdevumi_300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ula"/>
      <sheetName val="Kopsavilkums (2)"/>
      <sheetName val="Kopsavilkums"/>
      <sheetName val="Dati (2)"/>
      <sheetName val="Dati (3)"/>
      <sheetName val="Dati"/>
    </sheetNames>
    <sheetDataSet>
      <sheetData sheetId="0" refreshError="1"/>
      <sheetData sheetId="1" refreshError="1"/>
      <sheetData sheetId="2" refreshError="1"/>
      <sheetData sheetId="3" refreshError="1"/>
      <sheetData sheetId="4" refreshError="1"/>
      <sheetData sheetId="5">
        <row r="3">
          <cell r="I3">
            <v>0</v>
          </cell>
        </row>
        <row r="4">
          <cell r="I4">
            <v>0</v>
          </cell>
        </row>
        <row r="5">
          <cell r="I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0dace.godina@fm.gov.l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99F8-23D5-4ADA-BBE5-2BB37915B5A6}">
  <sheetPr>
    <tabColor theme="3" tint="0.499984740745262"/>
  </sheetPr>
  <dimension ref="A2:F19"/>
  <sheetViews>
    <sheetView workbookViewId="0">
      <selection activeCell="F16" sqref="F16"/>
    </sheetView>
  </sheetViews>
  <sheetFormatPr defaultRowHeight="14.5" x14ac:dyDescent="0.35"/>
  <cols>
    <col min="1" max="1" width="61.1796875" customWidth="1"/>
    <col min="2" max="4" width="12.81640625" customWidth="1"/>
    <col min="5" max="5" width="13.26953125" customWidth="1"/>
    <col min="6" max="6" width="12.54296875" bestFit="1" customWidth="1"/>
  </cols>
  <sheetData>
    <row r="2" spans="1:6" x14ac:dyDescent="0.35">
      <c r="A2" s="418" t="s">
        <v>0</v>
      </c>
      <c r="B2" s="418"/>
      <c r="C2" s="418"/>
      <c r="D2" s="418"/>
      <c r="E2" s="418"/>
    </row>
    <row r="4" spans="1:6" hidden="1" x14ac:dyDescent="0.35">
      <c r="A4" s="247" t="s">
        <v>1</v>
      </c>
      <c r="B4" s="247">
        <v>2026</v>
      </c>
      <c r="C4" s="250">
        <v>2027</v>
      </c>
      <c r="D4" s="385">
        <v>2028</v>
      </c>
      <c r="E4" s="388">
        <v>2029</v>
      </c>
    </row>
    <row r="5" spans="1:6" hidden="1" x14ac:dyDescent="0.35">
      <c r="A5" s="248" t="s">
        <v>2</v>
      </c>
      <c r="B5" s="252" t="e">
        <f>#REF!</f>
        <v>#REF!</v>
      </c>
      <c r="C5" s="253" t="e">
        <f>#REF!</f>
        <v>#REF!</v>
      </c>
      <c r="D5" s="386" t="e">
        <f>#REF!</f>
        <v>#REF!</v>
      </c>
      <c r="E5" s="377" t="e">
        <f>#REF!</f>
        <v>#REF!</v>
      </c>
    </row>
    <row r="6" spans="1:6" hidden="1" x14ac:dyDescent="0.35">
      <c r="A6" s="248" t="s">
        <v>3</v>
      </c>
      <c r="B6" s="254">
        <v>0</v>
      </c>
      <c r="C6" s="254">
        <f>90600000+30000000</f>
        <v>120600000</v>
      </c>
      <c r="D6" s="252">
        <f>98100000+30000000</f>
        <v>128100000</v>
      </c>
      <c r="E6" s="377">
        <f>94200000+30000000</f>
        <v>124200000</v>
      </c>
      <c r="F6" s="35"/>
    </row>
    <row r="7" spans="1:6" ht="29" hidden="1" x14ac:dyDescent="0.35">
      <c r="A7" s="249" t="s">
        <v>4</v>
      </c>
      <c r="B7" s="252">
        <v>0</v>
      </c>
      <c r="C7" s="254" t="e">
        <f>450000000-C5-C6-C8</f>
        <v>#REF!</v>
      </c>
      <c r="D7" s="252" t="e">
        <f>450000000-D5-D6-D8</f>
        <v>#REF!</v>
      </c>
      <c r="E7" s="377" t="e">
        <f>450000000-E5-E6-E8</f>
        <v>#REF!</v>
      </c>
      <c r="F7" s="35"/>
    </row>
    <row r="8" spans="1:6" hidden="1" x14ac:dyDescent="0.35">
      <c r="A8" s="264" t="s">
        <v>5</v>
      </c>
      <c r="B8" s="253">
        <v>37100000</v>
      </c>
      <c r="C8" s="253">
        <v>56700000</v>
      </c>
      <c r="D8" s="386">
        <v>59400000</v>
      </c>
      <c r="E8" s="12"/>
    </row>
    <row r="9" spans="1:6" hidden="1" x14ac:dyDescent="0.35">
      <c r="A9" s="265" t="s">
        <v>6</v>
      </c>
      <c r="B9" s="251" t="e">
        <f>B5+B6+B7+B8</f>
        <v>#REF!</v>
      </c>
      <c r="C9" s="251" t="e">
        <f t="shared" ref="C9:E9" si="0">C5+C6+C7+C8</f>
        <v>#REF!</v>
      </c>
      <c r="D9" s="387" t="e">
        <f t="shared" si="0"/>
        <v>#REF!</v>
      </c>
      <c r="E9" s="390" t="e">
        <f t="shared" si="0"/>
        <v>#REF!</v>
      </c>
    </row>
    <row r="10" spans="1:6" hidden="1" x14ac:dyDescent="0.35">
      <c r="A10" s="263" t="s">
        <v>7</v>
      </c>
    </row>
    <row r="11" spans="1:6" x14ac:dyDescent="0.35">
      <c r="B11" s="35"/>
      <c r="C11" s="35"/>
      <c r="D11" s="35"/>
    </row>
    <row r="12" spans="1:6" x14ac:dyDescent="0.35">
      <c r="A12" s="247" t="s">
        <v>1</v>
      </c>
      <c r="B12" s="247">
        <v>2026</v>
      </c>
      <c r="C12" s="250">
        <v>2027</v>
      </c>
      <c r="D12" s="385">
        <v>2028</v>
      </c>
      <c r="E12" s="388">
        <v>2029</v>
      </c>
    </row>
    <row r="13" spans="1:6" x14ac:dyDescent="0.35">
      <c r="A13" s="248" t="s">
        <v>991</v>
      </c>
      <c r="B13" s="252">
        <v>150000000</v>
      </c>
      <c r="C13" s="252">
        <v>150000000</v>
      </c>
      <c r="D13" s="389">
        <v>150000000</v>
      </c>
      <c r="E13" s="377">
        <v>150000000</v>
      </c>
    </row>
    <row r="14" spans="1:6" x14ac:dyDescent="0.35">
      <c r="A14" s="248" t="s">
        <v>3</v>
      </c>
      <c r="B14" s="254">
        <v>0</v>
      </c>
      <c r="C14" s="254">
        <f>90000000</f>
        <v>90000000</v>
      </c>
      <c r="D14" s="252">
        <f>90000000</f>
        <v>90000000</v>
      </c>
      <c r="E14" s="377">
        <f>90000000</f>
        <v>90000000</v>
      </c>
    </row>
    <row r="15" spans="1:6" ht="29" x14ac:dyDescent="0.35">
      <c r="A15" s="249" t="s">
        <v>4</v>
      </c>
      <c r="B15" s="252">
        <v>0</v>
      </c>
      <c r="C15" s="254">
        <f>450000000-C13-C14-C16</f>
        <v>153300000</v>
      </c>
      <c r="D15" s="252">
        <f>450000000-D13-D14-D16</f>
        <v>150600000</v>
      </c>
      <c r="E15" s="377">
        <f>450000000-E13-E14-E16</f>
        <v>210000000</v>
      </c>
    </row>
    <row r="16" spans="1:6" x14ac:dyDescent="0.35">
      <c r="A16" s="264" t="s">
        <v>5</v>
      </c>
      <c r="B16" s="253">
        <v>37100000</v>
      </c>
      <c r="C16" s="253">
        <v>56700000</v>
      </c>
      <c r="D16" s="386">
        <v>59400000</v>
      </c>
      <c r="E16" s="33"/>
    </row>
    <row r="17" spans="1:5" x14ac:dyDescent="0.35">
      <c r="A17" s="265" t="s">
        <v>6</v>
      </c>
      <c r="B17" s="251">
        <f>B13+B14+B15+B16</f>
        <v>187100000</v>
      </c>
      <c r="C17" s="251">
        <f t="shared" ref="C17:E17" si="1">C13+C14+C15+C16</f>
        <v>450000000</v>
      </c>
      <c r="D17" s="387">
        <f t="shared" si="1"/>
        <v>450000000</v>
      </c>
      <c r="E17" s="390">
        <f t="shared" si="1"/>
        <v>450000000</v>
      </c>
    </row>
    <row r="19" spans="1:5" x14ac:dyDescent="0.35">
      <c r="A19" s="263" t="s">
        <v>7</v>
      </c>
    </row>
  </sheetData>
  <mergeCells count="1">
    <mergeCell ref="A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C1EE-4F76-43A8-B112-2863EACD4A89}">
  <dimension ref="A1:T86"/>
  <sheetViews>
    <sheetView zoomScale="80" zoomScaleNormal="80" workbookViewId="0">
      <pane ySplit="1" topLeftCell="A56" activePane="bottomLeft" state="frozen"/>
      <selection activeCell="B38" sqref="B38"/>
      <selection pane="bottomLeft" activeCell="B38" sqref="B38"/>
    </sheetView>
  </sheetViews>
  <sheetFormatPr defaultRowHeight="14.5" x14ac:dyDescent="0.35"/>
  <cols>
    <col min="1" max="1" width="71" customWidth="1"/>
    <col min="2" max="3" width="10.54296875" bestFit="1" customWidth="1"/>
    <col min="4" max="4" width="9.54296875" bestFit="1" customWidth="1"/>
    <col min="5" max="5" width="8.453125" bestFit="1" customWidth="1"/>
    <col min="6" max="7" width="9.54296875" bestFit="1" customWidth="1"/>
    <col min="8" max="8" width="10.54296875" bestFit="1" customWidth="1"/>
    <col min="9" max="9" width="9.54296875" bestFit="1" customWidth="1"/>
    <col min="10" max="10" width="8.453125" bestFit="1" customWidth="1"/>
    <col min="11" max="12" width="9.54296875" bestFit="1" customWidth="1"/>
    <col min="13" max="13" width="8.453125" bestFit="1" customWidth="1"/>
    <col min="14" max="14" width="9.54296875" bestFit="1" customWidth="1"/>
    <col min="15" max="15" width="8.453125" bestFit="1" customWidth="1"/>
    <col min="16" max="19" width="9.54296875" bestFit="1" customWidth="1"/>
    <col min="20" max="20" width="10.81640625" bestFit="1" customWidth="1"/>
  </cols>
  <sheetData>
    <row r="1" spans="1:20" ht="43.5" x14ac:dyDescent="0.35">
      <c r="A1" s="56" t="s">
        <v>879</v>
      </c>
      <c r="B1" s="76" t="s">
        <v>880</v>
      </c>
      <c r="C1" s="76" t="s">
        <v>771</v>
      </c>
      <c r="D1" s="76" t="s">
        <v>784</v>
      </c>
      <c r="E1" s="76" t="s">
        <v>881</v>
      </c>
      <c r="F1" s="76" t="s">
        <v>790</v>
      </c>
      <c r="G1" s="76" t="s">
        <v>779</v>
      </c>
      <c r="H1" s="76" t="s">
        <v>805</v>
      </c>
      <c r="I1" s="76" t="s">
        <v>773</v>
      </c>
      <c r="J1" s="76" t="s">
        <v>781</v>
      </c>
      <c r="K1" s="76" t="s">
        <v>795</v>
      </c>
      <c r="L1" s="76" t="s">
        <v>789</v>
      </c>
      <c r="M1" s="76" t="s">
        <v>775</v>
      </c>
      <c r="N1" s="76" t="s">
        <v>882</v>
      </c>
      <c r="O1" s="76" t="s">
        <v>851</v>
      </c>
      <c r="P1" s="76" t="s">
        <v>797</v>
      </c>
      <c r="Q1" s="76" t="s">
        <v>785</v>
      </c>
      <c r="R1" s="76" t="s">
        <v>786</v>
      </c>
      <c r="S1" s="76" t="s">
        <v>791</v>
      </c>
    </row>
    <row r="2" spans="1:20" x14ac:dyDescent="0.35">
      <c r="A2" s="76" t="s">
        <v>883</v>
      </c>
      <c r="B2" s="55">
        <f>SUM(C2:S2)</f>
        <v>416.84000000000003</v>
      </c>
      <c r="C2" s="77">
        <v>0</v>
      </c>
      <c r="D2" s="77">
        <v>0</v>
      </c>
      <c r="E2" s="77">
        <v>0</v>
      </c>
      <c r="F2" s="77">
        <v>0</v>
      </c>
      <c r="G2" s="77">
        <v>0</v>
      </c>
      <c r="H2" s="77">
        <v>0</v>
      </c>
      <c r="I2" s="77">
        <v>0</v>
      </c>
      <c r="J2" s="77">
        <v>0</v>
      </c>
      <c r="K2" s="77">
        <v>0</v>
      </c>
      <c r="L2" s="77">
        <v>416.84000000000003</v>
      </c>
      <c r="M2" s="77">
        <v>0</v>
      </c>
      <c r="N2" s="77">
        <v>0</v>
      </c>
      <c r="O2" s="77">
        <v>0</v>
      </c>
      <c r="P2" s="77">
        <v>0</v>
      </c>
      <c r="Q2" s="77">
        <v>0</v>
      </c>
      <c r="R2" s="77">
        <v>0</v>
      </c>
      <c r="S2" s="77">
        <v>0</v>
      </c>
    </row>
    <row r="3" spans="1:20" x14ac:dyDescent="0.35">
      <c r="A3" s="76" t="s">
        <v>884</v>
      </c>
      <c r="B3" s="55">
        <f t="shared" ref="B3:B66" si="0">SUM(C3:S3)</f>
        <v>0</v>
      </c>
      <c r="C3" s="77">
        <v>0</v>
      </c>
      <c r="D3" s="77">
        <v>0</v>
      </c>
      <c r="E3" s="77">
        <v>0</v>
      </c>
      <c r="F3" s="77">
        <v>0</v>
      </c>
      <c r="G3" s="77">
        <v>0</v>
      </c>
      <c r="H3" s="77">
        <v>0</v>
      </c>
      <c r="I3" s="77">
        <v>0</v>
      </c>
      <c r="J3" s="77">
        <v>0</v>
      </c>
      <c r="K3" s="77">
        <v>0</v>
      </c>
      <c r="L3" s="77">
        <v>0</v>
      </c>
      <c r="M3" s="77">
        <v>0</v>
      </c>
      <c r="N3" s="77">
        <v>0</v>
      </c>
      <c r="O3" s="77">
        <v>0</v>
      </c>
      <c r="P3" s="77">
        <v>0</v>
      </c>
      <c r="Q3" s="77">
        <v>0</v>
      </c>
      <c r="R3" s="77">
        <v>0</v>
      </c>
      <c r="S3" s="77">
        <v>0</v>
      </c>
    </row>
    <row r="4" spans="1:20" x14ac:dyDescent="0.35">
      <c r="A4" s="76" t="s">
        <v>885</v>
      </c>
      <c r="B4" s="55">
        <f t="shared" si="0"/>
        <v>639345.16</v>
      </c>
      <c r="C4" s="77">
        <v>196697.43</v>
      </c>
      <c r="D4" s="77">
        <v>0</v>
      </c>
      <c r="E4" s="77">
        <v>0</v>
      </c>
      <c r="F4" s="77">
        <v>0</v>
      </c>
      <c r="G4" s="77">
        <v>0</v>
      </c>
      <c r="H4" s="77">
        <v>381195.73000000004</v>
      </c>
      <c r="I4" s="77">
        <v>0</v>
      </c>
      <c r="J4" s="77">
        <v>0</v>
      </c>
      <c r="K4" s="77">
        <v>0</v>
      </c>
      <c r="L4" s="77">
        <v>0</v>
      </c>
      <c r="M4" s="77">
        <v>0</v>
      </c>
      <c r="N4" s="77">
        <v>61452</v>
      </c>
      <c r="O4" s="77">
        <v>0</v>
      </c>
      <c r="P4" s="77">
        <v>0</v>
      </c>
      <c r="Q4" s="77">
        <v>0</v>
      </c>
      <c r="R4" s="77">
        <v>0</v>
      </c>
      <c r="S4" s="77">
        <v>0</v>
      </c>
    </row>
    <row r="5" spans="1:20" x14ac:dyDescent="0.35">
      <c r="A5" s="76" t="s">
        <v>728</v>
      </c>
      <c r="B5" s="55">
        <f t="shared" si="0"/>
        <v>25262526.709999997</v>
      </c>
      <c r="C5" s="77">
        <v>139943.95999999985</v>
      </c>
      <c r="D5" s="77">
        <v>20295.679999999997</v>
      </c>
      <c r="E5" s="77">
        <v>3481.79</v>
      </c>
      <c r="F5" s="77">
        <v>937.36000000000013</v>
      </c>
      <c r="G5" s="77">
        <v>973318.74000000034</v>
      </c>
      <c r="H5" s="77">
        <v>11571677.659999996</v>
      </c>
      <c r="I5" s="77">
        <v>267561.03999999992</v>
      </c>
      <c r="J5" s="77">
        <v>32020.27</v>
      </c>
      <c r="K5" s="77">
        <v>85476.3</v>
      </c>
      <c r="L5" s="77">
        <v>1419148.3000000033</v>
      </c>
      <c r="M5" s="77">
        <v>0</v>
      </c>
      <c r="N5" s="77">
        <v>32722.780000000006</v>
      </c>
      <c r="O5" s="77">
        <v>0</v>
      </c>
      <c r="P5" s="77">
        <v>2128882.7699999996</v>
      </c>
      <c r="Q5" s="77">
        <v>169.70999999999998</v>
      </c>
      <c r="R5" s="77">
        <v>8445680.8299999982</v>
      </c>
      <c r="S5" s="77">
        <v>141209.51999999996</v>
      </c>
      <c r="T5" s="78">
        <f>B5+B6+B7</f>
        <v>60068067.910000011</v>
      </c>
    </row>
    <row r="6" spans="1:20" x14ac:dyDescent="0.35">
      <c r="A6" s="76" t="s">
        <v>729</v>
      </c>
      <c r="B6" s="55">
        <f t="shared" si="0"/>
        <v>6458238.6899999976</v>
      </c>
      <c r="C6" s="77">
        <v>114327.47000000018</v>
      </c>
      <c r="D6" s="77">
        <v>3784.54</v>
      </c>
      <c r="E6" s="77">
        <v>338</v>
      </c>
      <c r="F6" s="77">
        <v>0</v>
      </c>
      <c r="G6" s="77">
        <v>263162.31999999989</v>
      </c>
      <c r="H6" s="77">
        <v>3156077.9299999983</v>
      </c>
      <c r="I6" s="77">
        <v>52513.330000000024</v>
      </c>
      <c r="J6" s="77">
        <v>8713.4399999999969</v>
      </c>
      <c r="K6" s="77">
        <v>50656.479999999989</v>
      </c>
      <c r="L6" s="77">
        <v>466971.0899999995</v>
      </c>
      <c r="M6" s="77">
        <v>160.29</v>
      </c>
      <c r="N6" s="77">
        <v>50731.349999999962</v>
      </c>
      <c r="O6" s="77">
        <v>0</v>
      </c>
      <c r="P6" s="77">
        <v>596004.57000000076</v>
      </c>
      <c r="Q6" s="77">
        <v>2039.3100000000002</v>
      </c>
      <c r="R6" s="77">
        <v>1687300.5299999991</v>
      </c>
      <c r="S6" s="77">
        <v>5458.0400000000009</v>
      </c>
    </row>
    <row r="7" spans="1:20" x14ac:dyDescent="0.35">
      <c r="A7" s="76" t="s">
        <v>730</v>
      </c>
      <c r="B7" s="55">
        <f t="shared" si="0"/>
        <v>28347302.51000002</v>
      </c>
      <c r="C7" s="77">
        <v>571442.89000000036</v>
      </c>
      <c r="D7" s="77">
        <v>23480.289999999997</v>
      </c>
      <c r="E7" s="77">
        <v>34300.53</v>
      </c>
      <c r="F7" s="77">
        <v>129938.72999999998</v>
      </c>
      <c r="G7" s="77">
        <v>2066720.8500000013</v>
      </c>
      <c r="H7" s="77">
        <v>18725522.110000014</v>
      </c>
      <c r="I7" s="77">
        <v>261663.80000000008</v>
      </c>
      <c r="J7" s="77">
        <v>11668.160000000002</v>
      </c>
      <c r="K7" s="77">
        <v>74429.099999999991</v>
      </c>
      <c r="L7" s="77">
        <v>376516.0699999996</v>
      </c>
      <c r="M7" s="77">
        <v>13020.550000000001</v>
      </c>
      <c r="N7" s="77">
        <v>40103.140000000007</v>
      </c>
      <c r="O7" s="77">
        <v>19009.999999999996</v>
      </c>
      <c r="P7" s="77">
        <v>1712255.8599999971</v>
      </c>
      <c r="Q7" s="77">
        <v>37441.560000000005</v>
      </c>
      <c r="R7" s="77">
        <v>3806940.0200000028</v>
      </c>
      <c r="S7" s="77">
        <v>442848.85000000027</v>
      </c>
    </row>
    <row r="8" spans="1:20" x14ac:dyDescent="0.35">
      <c r="A8" s="76" t="s">
        <v>737</v>
      </c>
      <c r="B8" s="55">
        <f t="shared" si="0"/>
        <v>8189201.9800000992</v>
      </c>
      <c r="C8" s="77">
        <v>0</v>
      </c>
      <c r="D8" s="77">
        <v>0</v>
      </c>
      <c r="E8" s="77">
        <v>0</v>
      </c>
      <c r="F8" s="77">
        <v>0</v>
      </c>
      <c r="G8" s="77">
        <v>647400.75000000012</v>
      </c>
      <c r="H8" s="77">
        <v>6646913.2300000992</v>
      </c>
      <c r="I8" s="77">
        <v>0</v>
      </c>
      <c r="J8" s="77">
        <v>0</v>
      </c>
      <c r="K8" s="77">
        <v>0</v>
      </c>
      <c r="L8" s="77">
        <v>0</v>
      </c>
      <c r="M8" s="77">
        <v>0</v>
      </c>
      <c r="N8" s="77">
        <v>0</v>
      </c>
      <c r="O8" s="77">
        <v>0</v>
      </c>
      <c r="P8" s="77">
        <v>894888.00000000047</v>
      </c>
      <c r="Q8" s="77">
        <v>0</v>
      </c>
      <c r="R8" s="77">
        <v>0</v>
      </c>
      <c r="S8" s="77">
        <v>0</v>
      </c>
    </row>
    <row r="9" spans="1:20" x14ac:dyDescent="0.35">
      <c r="A9" s="76" t="s">
        <v>738</v>
      </c>
      <c r="B9" s="55">
        <f t="shared" si="0"/>
        <v>2789088.2400000007</v>
      </c>
      <c r="C9" s="77">
        <v>241716.77000000002</v>
      </c>
      <c r="D9" s="77">
        <v>2247284.89</v>
      </c>
      <c r="E9" s="77">
        <v>0</v>
      </c>
      <c r="F9" s="77">
        <v>91415.62000000001</v>
      </c>
      <c r="G9" s="77">
        <v>36939.269999999997</v>
      </c>
      <c r="H9" s="77">
        <v>8958.7200000000012</v>
      </c>
      <c r="I9" s="77">
        <v>10014.900000000001</v>
      </c>
      <c r="J9" s="77">
        <v>23217.210000000003</v>
      </c>
      <c r="K9" s="77">
        <v>3000</v>
      </c>
      <c r="L9" s="77">
        <v>8573.27</v>
      </c>
      <c r="M9" s="77">
        <v>26378.93</v>
      </c>
      <c r="N9" s="77">
        <v>27927.190000000002</v>
      </c>
      <c r="O9" s="77">
        <v>22500</v>
      </c>
      <c r="P9" s="77">
        <v>8553.6</v>
      </c>
      <c r="Q9" s="77">
        <v>8913.6</v>
      </c>
      <c r="R9" s="77">
        <v>7761.6</v>
      </c>
      <c r="S9" s="77">
        <v>15932.669999999998</v>
      </c>
    </row>
    <row r="10" spans="1:20" x14ac:dyDescent="0.35">
      <c r="A10" s="76" t="s">
        <v>739</v>
      </c>
      <c r="B10" s="55">
        <f t="shared" si="0"/>
        <v>2546155.6399999978</v>
      </c>
      <c r="C10" s="77">
        <v>0</v>
      </c>
      <c r="D10" s="77">
        <v>0</v>
      </c>
      <c r="E10" s="77">
        <v>187274.44</v>
      </c>
      <c r="F10" s="77">
        <v>0</v>
      </c>
      <c r="G10" s="77">
        <v>0</v>
      </c>
      <c r="H10" s="77">
        <v>0</v>
      </c>
      <c r="I10" s="77">
        <v>0</v>
      </c>
      <c r="J10" s="77">
        <v>0</v>
      </c>
      <c r="K10" s="77">
        <v>0</v>
      </c>
      <c r="L10" s="77">
        <v>0</v>
      </c>
      <c r="M10" s="77">
        <v>0</v>
      </c>
      <c r="N10" s="77">
        <v>1055758.5099999993</v>
      </c>
      <c r="O10" s="77">
        <v>0</v>
      </c>
      <c r="P10" s="77">
        <v>1303122.6899999988</v>
      </c>
      <c r="Q10" s="77">
        <v>0</v>
      </c>
      <c r="R10" s="77">
        <v>0</v>
      </c>
      <c r="S10" s="77">
        <v>0</v>
      </c>
    </row>
    <row r="11" spans="1:20" x14ac:dyDescent="0.35">
      <c r="A11" s="76" t="s">
        <v>740</v>
      </c>
      <c r="B11" s="55">
        <f t="shared" si="0"/>
        <v>1798353.4800000018</v>
      </c>
      <c r="C11" s="77">
        <v>152687.23000000001</v>
      </c>
      <c r="D11" s="77">
        <v>0</v>
      </c>
      <c r="E11" s="77">
        <v>0</v>
      </c>
      <c r="F11" s="77">
        <v>0</v>
      </c>
      <c r="G11" s="77">
        <v>0</v>
      </c>
      <c r="H11" s="77">
        <v>0</v>
      </c>
      <c r="I11" s="77">
        <v>0</v>
      </c>
      <c r="J11" s="77">
        <v>0</v>
      </c>
      <c r="K11" s="77">
        <v>0</v>
      </c>
      <c r="L11" s="77">
        <v>278521.95000000036</v>
      </c>
      <c r="M11" s="77">
        <v>0</v>
      </c>
      <c r="N11" s="77">
        <v>0</v>
      </c>
      <c r="O11" s="77">
        <v>0</v>
      </c>
      <c r="P11" s="77">
        <v>167833.98</v>
      </c>
      <c r="Q11" s="77">
        <v>0</v>
      </c>
      <c r="R11" s="77">
        <v>1199310.3200000015</v>
      </c>
      <c r="S11" s="77">
        <v>0</v>
      </c>
    </row>
    <row r="12" spans="1:20" x14ac:dyDescent="0.35">
      <c r="A12" s="56" t="s">
        <v>741</v>
      </c>
      <c r="B12" s="55">
        <f t="shared" si="0"/>
        <v>13528246.839999996</v>
      </c>
      <c r="C12" s="77">
        <v>1238115.3900000004</v>
      </c>
      <c r="D12" s="77">
        <v>0</v>
      </c>
      <c r="E12" s="77">
        <v>758368.47</v>
      </c>
      <c r="F12" s="77">
        <v>0</v>
      </c>
      <c r="G12" s="77">
        <v>14165.969999999998</v>
      </c>
      <c r="H12" s="77">
        <v>538767.81999999995</v>
      </c>
      <c r="I12" s="77">
        <v>0</v>
      </c>
      <c r="J12" s="77">
        <v>11433.840000000002</v>
      </c>
      <c r="K12" s="77">
        <v>0</v>
      </c>
      <c r="L12" s="77">
        <v>3711634.3899999973</v>
      </c>
      <c r="M12" s="77">
        <v>0</v>
      </c>
      <c r="N12" s="77">
        <v>0</v>
      </c>
      <c r="O12" s="77">
        <v>104783.8</v>
      </c>
      <c r="P12" s="77">
        <v>1026803.0399999996</v>
      </c>
      <c r="Q12" s="77">
        <v>26687.61</v>
      </c>
      <c r="R12" s="77">
        <v>6072832.4099999992</v>
      </c>
      <c r="S12" s="77">
        <v>24654.100000000013</v>
      </c>
    </row>
    <row r="13" spans="1:20" ht="29" x14ac:dyDescent="0.35">
      <c r="A13" s="56" t="s">
        <v>742</v>
      </c>
      <c r="B13" s="55">
        <f t="shared" si="0"/>
        <v>257117.31999999989</v>
      </c>
      <c r="C13" s="77">
        <v>0</v>
      </c>
      <c r="D13" s="77">
        <v>0</v>
      </c>
      <c r="E13" s="77">
        <v>0</v>
      </c>
      <c r="F13" s="77">
        <v>0</v>
      </c>
      <c r="G13" s="77">
        <v>1124.6199999999999</v>
      </c>
      <c r="H13" s="77">
        <v>249778.6999999999</v>
      </c>
      <c r="I13" s="77">
        <v>0</v>
      </c>
      <c r="J13" s="77">
        <v>0</v>
      </c>
      <c r="K13" s="77">
        <v>0</v>
      </c>
      <c r="L13" s="77">
        <v>0</v>
      </c>
      <c r="M13" s="77">
        <v>0</v>
      </c>
      <c r="N13" s="77">
        <v>0</v>
      </c>
      <c r="O13" s="77">
        <v>0</v>
      </c>
      <c r="P13" s="77">
        <v>6214</v>
      </c>
      <c r="Q13" s="77">
        <v>0</v>
      </c>
      <c r="R13" s="77">
        <v>0</v>
      </c>
      <c r="S13" s="77">
        <v>0</v>
      </c>
    </row>
    <row r="14" spans="1:20" ht="29" x14ac:dyDescent="0.35">
      <c r="A14" s="56" t="s">
        <v>743</v>
      </c>
      <c r="B14" s="55">
        <f t="shared" si="0"/>
        <v>27177.260000000002</v>
      </c>
      <c r="C14" s="77">
        <v>0</v>
      </c>
      <c r="D14" s="77">
        <v>0</v>
      </c>
      <c r="E14" s="77">
        <v>0</v>
      </c>
      <c r="F14" s="77">
        <v>0</v>
      </c>
      <c r="G14" s="77">
        <v>0</v>
      </c>
      <c r="H14" s="77">
        <v>0</v>
      </c>
      <c r="I14" s="77">
        <v>20029.160000000003</v>
      </c>
      <c r="J14" s="77">
        <v>0</v>
      </c>
      <c r="K14" s="77">
        <v>7148.1</v>
      </c>
      <c r="L14" s="77">
        <v>0</v>
      </c>
      <c r="M14" s="77">
        <v>0</v>
      </c>
      <c r="N14" s="77">
        <v>0</v>
      </c>
      <c r="O14" s="77">
        <v>0</v>
      </c>
      <c r="P14" s="77">
        <v>0</v>
      </c>
      <c r="Q14" s="77">
        <v>0</v>
      </c>
      <c r="R14" s="77">
        <v>0</v>
      </c>
      <c r="S14" s="77">
        <v>0</v>
      </c>
    </row>
    <row r="15" spans="1:20" ht="58" x14ac:dyDescent="0.35">
      <c r="A15" s="56" t="s">
        <v>744</v>
      </c>
      <c r="B15" s="55">
        <f t="shared" si="0"/>
        <v>50231.16</v>
      </c>
      <c r="C15" s="77">
        <v>0</v>
      </c>
      <c r="D15" s="77">
        <v>0</v>
      </c>
      <c r="E15" s="77">
        <v>0</v>
      </c>
      <c r="F15" s="77">
        <v>0</v>
      </c>
      <c r="G15" s="77">
        <v>0</v>
      </c>
      <c r="H15" s="77">
        <v>0</v>
      </c>
      <c r="I15" s="77">
        <v>0</v>
      </c>
      <c r="J15" s="77">
        <v>0</v>
      </c>
      <c r="K15" s="77">
        <v>0</v>
      </c>
      <c r="L15" s="77">
        <v>0</v>
      </c>
      <c r="M15" s="77">
        <v>0</v>
      </c>
      <c r="N15" s="77">
        <v>50231.16</v>
      </c>
      <c r="O15" s="77">
        <v>0</v>
      </c>
      <c r="P15" s="77">
        <v>0</v>
      </c>
      <c r="Q15" s="77">
        <v>0</v>
      </c>
      <c r="R15" s="77">
        <v>0</v>
      </c>
      <c r="S15" s="77">
        <v>0</v>
      </c>
    </row>
    <row r="16" spans="1:20" x14ac:dyDescent="0.35">
      <c r="A16" s="56" t="s">
        <v>745</v>
      </c>
      <c r="B16" s="55">
        <f t="shared" si="0"/>
        <v>138184.63000000012</v>
      </c>
      <c r="C16" s="77">
        <v>0</v>
      </c>
      <c r="D16" s="77">
        <v>0</v>
      </c>
      <c r="E16" s="77">
        <v>0</v>
      </c>
      <c r="F16" s="77">
        <v>0</v>
      </c>
      <c r="G16" s="77">
        <v>0</v>
      </c>
      <c r="H16" s="77">
        <v>0</v>
      </c>
      <c r="I16" s="77">
        <v>0</v>
      </c>
      <c r="J16" s="77">
        <v>0</v>
      </c>
      <c r="K16" s="77">
        <v>0</v>
      </c>
      <c r="L16" s="77">
        <v>0</v>
      </c>
      <c r="M16" s="77">
        <v>0</v>
      </c>
      <c r="N16" s="77">
        <v>138184.63000000012</v>
      </c>
      <c r="O16" s="77">
        <v>0</v>
      </c>
      <c r="P16" s="77">
        <v>0</v>
      </c>
      <c r="Q16" s="77">
        <v>0</v>
      </c>
      <c r="R16" s="77">
        <v>0</v>
      </c>
      <c r="S16" s="77">
        <v>0</v>
      </c>
    </row>
    <row r="17" spans="1:19" ht="29" x14ac:dyDescent="0.35">
      <c r="A17" s="56" t="s">
        <v>746</v>
      </c>
      <c r="B17" s="55">
        <f t="shared" si="0"/>
        <v>75462.509999999995</v>
      </c>
      <c r="C17" s="77">
        <v>0</v>
      </c>
      <c r="D17" s="77">
        <v>0</v>
      </c>
      <c r="E17" s="77">
        <v>0</v>
      </c>
      <c r="F17" s="77">
        <v>0</v>
      </c>
      <c r="G17" s="77">
        <v>0</v>
      </c>
      <c r="H17" s="77">
        <v>0</v>
      </c>
      <c r="I17" s="77">
        <v>0</v>
      </c>
      <c r="J17" s="77">
        <v>0</v>
      </c>
      <c r="K17" s="77">
        <v>0</v>
      </c>
      <c r="L17" s="77">
        <v>0</v>
      </c>
      <c r="M17" s="77">
        <v>0</v>
      </c>
      <c r="N17" s="77">
        <v>0</v>
      </c>
      <c r="O17" s="77">
        <v>0</v>
      </c>
      <c r="P17" s="77">
        <v>75462.509999999995</v>
      </c>
      <c r="Q17" s="77">
        <v>0</v>
      </c>
      <c r="R17" s="77">
        <v>0</v>
      </c>
      <c r="S17" s="77">
        <v>0</v>
      </c>
    </row>
    <row r="18" spans="1:19" x14ac:dyDescent="0.35">
      <c r="A18" s="56" t="s">
        <v>747</v>
      </c>
      <c r="B18" s="55">
        <f t="shared" si="0"/>
        <v>105027.62999999999</v>
      </c>
      <c r="C18" s="77">
        <v>0</v>
      </c>
      <c r="D18" s="77">
        <v>0</v>
      </c>
      <c r="E18" s="77">
        <v>0</v>
      </c>
      <c r="F18" s="77">
        <v>0</v>
      </c>
      <c r="G18" s="77">
        <v>0</v>
      </c>
      <c r="H18" s="77">
        <v>0</v>
      </c>
      <c r="I18" s="77">
        <v>5735.9399999999987</v>
      </c>
      <c r="J18" s="77">
        <v>0</v>
      </c>
      <c r="K18" s="77">
        <v>94557.819999999992</v>
      </c>
      <c r="L18" s="77">
        <v>4733.87</v>
      </c>
      <c r="M18" s="77">
        <v>0</v>
      </c>
      <c r="N18" s="77">
        <v>0</v>
      </c>
      <c r="O18" s="77">
        <v>0</v>
      </c>
      <c r="P18" s="77">
        <v>0</v>
      </c>
      <c r="Q18" s="77">
        <v>0</v>
      </c>
      <c r="R18" s="77">
        <v>0</v>
      </c>
      <c r="S18" s="77">
        <v>0</v>
      </c>
    </row>
    <row r="19" spans="1:19" ht="43.5" x14ac:dyDescent="0.35">
      <c r="A19" s="56" t="s">
        <v>748</v>
      </c>
      <c r="B19" s="55">
        <f t="shared" si="0"/>
        <v>395598.48</v>
      </c>
      <c r="C19" s="77">
        <v>0</v>
      </c>
      <c r="D19" s="77">
        <v>0</v>
      </c>
      <c r="E19" s="77">
        <v>0</v>
      </c>
      <c r="F19" s="77">
        <v>0</v>
      </c>
      <c r="G19" s="77">
        <v>0</v>
      </c>
      <c r="H19" s="77">
        <v>395598.48</v>
      </c>
      <c r="I19" s="77">
        <v>0</v>
      </c>
      <c r="J19" s="77">
        <v>0</v>
      </c>
      <c r="K19" s="77">
        <v>0</v>
      </c>
      <c r="L19" s="77">
        <v>0</v>
      </c>
      <c r="M19" s="77">
        <v>0</v>
      </c>
      <c r="N19" s="77">
        <v>0</v>
      </c>
      <c r="O19" s="77">
        <v>0</v>
      </c>
      <c r="P19" s="77">
        <v>0</v>
      </c>
      <c r="Q19" s="77">
        <v>0</v>
      </c>
      <c r="R19" s="77">
        <v>0</v>
      </c>
      <c r="S19" s="77">
        <v>0</v>
      </c>
    </row>
    <row r="20" spans="1:19" x14ac:dyDescent="0.35">
      <c r="A20" s="56" t="s">
        <v>749</v>
      </c>
      <c r="B20" s="55">
        <f t="shared" si="0"/>
        <v>38700</v>
      </c>
      <c r="C20" s="77">
        <v>0</v>
      </c>
      <c r="D20" s="77">
        <v>0</v>
      </c>
      <c r="E20" s="77">
        <v>0</v>
      </c>
      <c r="F20" s="77">
        <v>0</v>
      </c>
      <c r="G20" s="77">
        <v>0</v>
      </c>
      <c r="H20" s="77">
        <v>38700</v>
      </c>
      <c r="I20" s="77">
        <v>0</v>
      </c>
      <c r="J20" s="77">
        <v>0</v>
      </c>
      <c r="K20" s="77">
        <v>0</v>
      </c>
      <c r="L20" s="77">
        <v>0</v>
      </c>
      <c r="M20" s="77">
        <v>0</v>
      </c>
      <c r="N20" s="77">
        <v>0</v>
      </c>
      <c r="O20" s="77">
        <v>0</v>
      </c>
      <c r="P20" s="77">
        <v>0</v>
      </c>
      <c r="Q20" s="77">
        <v>0</v>
      </c>
      <c r="R20" s="77">
        <v>0</v>
      </c>
      <c r="S20" s="77">
        <v>0</v>
      </c>
    </row>
    <row r="21" spans="1:19" ht="29" x14ac:dyDescent="0.35">
      <c r="A21" s="56" t="s">
        <v>886</v>
      </c>
      <c r="B21" s="55">
        <f t="shared" si="0"/>
        <v>0</v>
      </c>
      <c r="C21" s="77">
        <v>0</v>
      </c>
      <c r="D21" s="77">
        <v>0</v>
      </c>
      <c r="E21" s="77">
        <v>0</v>
      </c>
      <c r="F21" s="77">
        <v>0</v>
      </c>
      <c r="G21" s="77">
        <v>0</v>
      </c>
      <c r="H21" s="77">
        <v>0</v>
      </c>
      <c r="I21" s="77">
        <v>0</v>
      </c>
      <c r="J21" s="77">
        <v>0</v>
      </c>
      <c r="K21" s="77">
        <v>0</v>
      </c>
      <c r="L21" s="77">
        <v>0</v>
      </c>
      <c r="M21" s="77">
        <v>0</v>
      </c>
      <c r="N21" s="77">
        <v>0</v>
      </c>
      <c r="O21" s="77">
        <v>0</v>
      </c>
      <c r="P21" s="77">
        <v>0</v>
      </c>
      <c r="Q21" s="77">
        <v>0</v>
      </c>
      <c r="R21" s="77">
        <v>0</v>
      </c>
      <c r="S21" s="77">
        <v>0</v>
      </c>
    </row>
    <row r="22" spans="1:19" ht="29" x14ac:dyDescent="0.35">
      <c r="A22" s="56" t="s">
        <v>887</v>
      </c>
      <c r="B22" s="55">
        <f t="shared" si="0"/>
        <v>0</v>
      </c>
      <c r="C22" s="77">
        <v>0</v>
      </c>
      <c r="D22" s="77">
        <v>0</v>
      </c>
      <c r="E22" s="77">
        <v>0</v>
      </c>
      <c r="F22" s="77">
        <v>0</v>
      </c>
      <c r="G22" s="77">
        <v>0</v>
      </c>
      <c r="H22" s="77">
        <v>0</v>
      </c>
      <c r="I22" s="77">
        <v>0</v>
      </c>
      <c r="J22" s="77">
        <v>0</v>
      </c>
      <c r="K22" s="77">
        <v>0</v>
      </c>
      <c r="L22" s="77">
        <v>0</v>
      </c>
      <c r="M22" s="77">
        <v>0</v>
      </c>
      <c r="N22" s="77">
        <v>0</v>
      </c>
      <c r="O22" s="77">
        <v>0</v>
      </c>
      <c r="P22" s="77">
        <v>0</v>
      </c>
      <c r="Q22" s="77">
        <v>0</v>
      </c>
      <c r="R22" s="77">
        <v>0</v>
      </c>
      <c r="S22" s="77">
        <v>0</v>
      </c>
    </row>
    <row r="23" spans="1:19" x14ac:dyDescent="0.35">
      <c r="A23" s="56" t="s">
        <v>888</v>
      </c>
      <c r="B23" s="55">
        <f t="shared" si="0"/>
        <v>0</v>
      </c>
      <c r="C23" s="77">
        <v>0</v>
      </c>
      <c r="D23" s="77">
        <v>0</v>
      </c>
      <c r="E23" s="77">
        <v>0</v>
      </c>
      <c r="F23" s="77">
        <v>0</v>
      </c>
      <c r="G23" s="77">
        <v>0</v>
      </c>
      <c r="H23" s="77">
        <v>0</v>
      </c>
      <c r="I23" s="77">
        <v>0</v>
      </c>
      <c r="J23" s="77">
        <v>0</v>
      </c>
      <c r="K23" s="77">
        <v>0</v>
      </c>
      <c r="L23" s="77">
        <v>0</v>
      </c>
      <c r="M23" s="77">
        <v>0</v>
      </c>
      <c r="N23" s="77">
        <v>0</v>
      </c>
      <c r="O23" s="77">
        <v>0</v>
      </c>
      <c r="P23" s="77">
        <v>0</v>
      </c>
      <c r="Q23" s="77">
        <v>0</v>
      </c>
      <c r="R23" s="77">
        <v>0</v>
      </c>
      <c r="S23" s="77">
        <v>0</v>
      </c>
    </row>
    <row r="24" spans="1:19" ht="29" x14ac:dyDescent="0.35">
      <c r="A24" s="56" t="s">
        <v>889</v>
      </c>
      <c r="B24" s="55">
        <f t="shared" si="0"/>
        <v>0</v>
      </c>
      <c r="C24" s="77">
        <v>0</v>
      </c>
      <c r="D24" s="77">
        <v>0</v>
      </c>
      <c r="E24" s="77">
        <v>0</v>
      </c>
      <c r="F24" s="77">
        <v>0</v>
      </c>
      <c r="G24" s="77">
        <v>0</v>
      </c>
      <c r="H24" s="77">
        <v>0</v>
      </c>
      <c r="I24" s="77">
        <v>0</v>
      </c>
      <c r="J24" s="77">
        <v>0</v>
      </c>
      <c r="K24" s="77">
        <v>0</v>
      </c>
      <c r="L24" s="77">
        <v>0</v>
      </c>
      <c r="M24" s="77">
        <v>0</v>
      </c>
      <c r="N24" s="77">
        <v>0</v>
      </c>
      <c r="O24" s="77">
        <v>0</v>
      </c>
      <c r="P24" s="77">
        <v>0</v>
      </c>
      <c r="Q24" s="77">
        <v>0</v>
      </c>
      <c r="R24" s="77">
        <v>0</v>
      </c>
      <c r="S24" s="77">
        <v>0</v>
      </c>
    </row>
    <row r="25" spans="1:19" x14ac:dyDescent="0.35">
      <c r="A25" s="56" t="s">
        <v>890</v>
      </c>
      <c r="B25" s="55">
        <f t="shared" si="0"/>
        <v>0</v>
      </c>
      <c r="C25" s="77">
        <v>0</v>
      </c>
      <c r="D25" s="77">
        <v>0</v>
      </c>
      <c r="E25" s="77">
        <v>0</v>
      </c>
      <c r="F25" s="77">
        <v>0</v>
      </c>
      <c r="G25" s="77">
        <v>0</v>
      </c>
      <c r="H25" s="77">
        <v>0</v>
      </c>
      <c r="I25" s="77">
        <v>0</v>
      </c>
      <c r="J25" s="77">
        <v>0</v>
      </c>
      <c r="K25" s="77">
        <v>0</v>
      </c>
      <c r="L25" s="77">
        <v>0</v>
      </c>
      <c r="M25" s="77">
        <v>0</v>
      </c>
      <c r="N25" s="77">
        <v>0</v>
      </c>
      <c r="O25" s="77">
        <v>0</v>
      </c>
      <c r="P25" s="77">
        <v>0</v>
      </c>
      <c r="Q25" s="77">
        <v>0</v>
      </c>
      <c r="R25" s="77">
        <v>0</v>
      </c>
      <c r="S25" s="77">
        <v>0</v>
      </c>
    </row>
    <row r="26" spans="1:19" ht="43.5" x14ac:dyDescent="0.35">
      <c r="A26" s="56" t="s">
        <v>750</v>
      </c>
      <c r="B26" s="55">
        <f t="shared" si="0"/>
        <v>14601545.459999984</v>
      </c>
      <c r="C26" s="77">
        <v>14601545.459999984</v>
      </c>
      <c r="D26" s="77">
        <v>0</v>
      </c>
      <c r="E26" s="77">
        <v>0</v>
      </c>
      <c r="F26" s="77">
        <v>0</v>
      </c>
      <c r="G26" s="77">
        <v>0</v>
      </c>
      <c r="H26" s="77">
        <v>0</v>
      </c>
      <c r="I26" s="77">
        <v>0</v>
      </c>
      <c r="J26" s="77">
        <v>0</v>
      </c>
      <c r="K26" s="77">
        <v>0</v>
      </c>
      <c r="L26" s="77">
        <v>0</v>
      </c>
      <c r="M26" s="77">
        <v>0</v>
      </c>
      <c r="N26" s="77">
        <v>0</v>
      </c>
      <c r="O26" s="77">
        <v>0</v>
      </c>
      <c r="P26" s="77">
        <v>0</v>
      </c>
      <c r="Q26" s="77">
        <v>0</v>
      </c>
      <c r="R26" s="77">
        <v>0</v>
      </c>
      <c r="S26" s="77">
        <v>0</v>
      </c>
    </row>
    <row r="27" spans="1:19" x14ac:dyDescent="0.35">
      <c r="A27" s="56" t="s">
        <v>751</v>
      </c>
      <c r="B27" s="55">
        <f t="shared" si="0"/>
        <v>3833154.3799999952</v>
      </c>
      <c r="C27" s="77">
        <v>0</v>
      </c>
      <c r="D27" s="77">
        <v>0</v>
      </c>
      <c r="E27" s="77">
        <v>0</v>
      </c>
      <c r="F27" s="77">
        <v>0</v>
      </c>
      <c r="G27" s="77">
        <v>0</v>
      </c>
      <c r="H27" s="77">
        <v>3833154.3799999952</v>
      </c>
      <c r="I27" s="77">
        <v>0</v>
      </c>
      <c r="J27" s="77">
        <v>0</v>
      </c>
      <c r="K27" s="77">
        <v>0</v>
      </c>
      <c r="L27" s="77">
        <v>0</v>
      </c>
      <c r="M27" s="77">
        <v>0</v>
      </c>
      <c r="N27" s="77">
        <v>0</v>
      </c>
      <c r="O27" s="77">
        <v>0</v>
      </c>
      <c r="P27" s="77">
        <v>0</v>
      </c>
      <c r="Q27" s="77">
        <v>0</v>
      </c>
      <c r="R27" s="77">
        <v>0</v>
      </c>
      <c r="S27" s="77">
        <v>0</v>
      </c>
    </row>
    <row r="28" spans="1:19" ht="43.5" x14ac:dyDescent="0.35">
      <c r="A28" s="56" t="s">
        <v>752</v>
      </c>
      <c r="B28" s="55">
        <f t="shared" si="0"/>
        <v>19752.96</v>
      </c>
      <c r="C28" s="77">
        <v>0</v>
      </c>
      <c r="D28" s="77">
        <v>0</v>
      </c>
      <c r="E28" s="77">
        <v>0</v>
      </c>
      <c r="F28" s="77">
        <v>0</v>
      </c>
      <c r="G28" s="77">
        <v>0</v>
      </c>
      <c r="H28" s="77">
        <v>0</v>
      </c>
      <c r="I28" s="77">
        <v>0</v>
      </c>
      <c r="J28" s="77">
        <v>0</v>
      </c>
      <c r="K28" s="77">
        <v>0</v>
      </c>
      <c r="L28" s="77">
        <v>0</v>
      </c>
      <c r="M28" s="77">
        <v>0</v>
      </c>
      <c r="N28" s="77">
        <v>19752.96</v>
      </c>
      <c r="O28" s="77">
        <v>0</v>
      </c>
      <c r="P28" s="77">
        <v>0</v>
      </c>
      <c r="Q28" s="77">
        <v>0</v>
      </c>
      <c r="R28" s="77">
        <v>0</v>
      </c>
      <c r="S28" s="77">
        <v>0</v>
      </c>
    </row>
    <row r="29" spans="1:19" x14ac:dyDescent="0.35">
      <c r="A29" s="56" t="s">
        <v>891</v>
      </c>
      <c r="B29" s="55">
        <f t="shared" si="0"/>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row>
    <row r="30" spans="1:19" x14ac:dyDescent="0.35">
      <c r="A30" s="57" t="s">
        <v>753</v>
      </c>
      <c r="B30" s="55">
        <f t="shared" si="0"/>
        <v>9715689.0799999889</v>
      </c>
      <c r="C30" s="77">
        <v>3315617.9499999885</v>
      </c>
      <c r="D30" s="77">
        <v>706.44</v>
      </c>
      <c r="E30" s="77">
        <v>13551.1</v>
      </c>
      <c r="F30" s="77">
        <v>80110.740000000034</v>
      </c>
      <c r="G30" s="77">
        <v>228496.95999999996</v>
      </c>
      <c r="H30" s="77">
        <v>3231248.6400000043</v>
      </c>
      <c r="I30" s="77">
        <v>110699.72999999998</v>
      </c>
      <c r="J30" s="77">
        <v>11366.67</v>
      </c>
      <c r="K30" s="77">
        <v>141195.55999999988</v>
      </c>
      <c r="L30" s="77">
        <v>599002.72999999986</v>
      </c>
      <c r="M30" s="77">
        <v>104721.47000000004</v>
      </c>
      <c r="N30" s="77">
        <v>238124.31</v>
      </c>
      <c r="O30" s="77">
        <v>277.37</v>
      </c>
      <c r="P30" s="77">
        <v>1066925.6499999983</v>
      </c>
      <c r="Q30" s="77">
        <v>35064.159999999989</v>
      </c>
      <c r="R30" s="77">
        <v>269453.81999999977</v>
      </c>
      <c r="S30" s="77">
        <v>269125.78000000009</v>
      </c>
    </row>
    <row r="31" spans="1:19" ht="29" x14ac:dyDescent="0.35">
      <c r="A31" s="56" t="s">
        <v>754</v>
      </c>
      <c r="B31" s="55">
        <f t="shared" si="0"/>
        <v>177259.89999999997</v>
      </c>
      <c r="C31" s="77">
        <v>0</v>
      </c>
      <c r="D31" s="77">
        <v>0</v>
      </c>
      <c r="E31" s="77">
        <v>0</v>
      </c>
      <c r="F31" s="77">
        <v>2791.52</v>
      </c>
      <c r="G31" s="77">
        <v>0</v>
      </c>
      <c r="H31" s="77">
        <v>0</v>
      </c>
      <c r="I31" s="77">
        <v>6007.29</v>
      </c>
      <c r="J31" s="77">
        <v>0</v>
      </c>
      <c r="K31" s="77">
        <v>1789.3899999999999</v>
      </c>
      <c r="L31" s="77">
        <v>8739.2800000000007</v>
      </c>
      <c r="M31" s="77">
        <v>0</v>
      </c>
      <c r="N31" s="77">
        <v>65711.37999999999</v>
      </c>
      <c r="O31" s="77">
        <v>0</v>
      </c>
      <c r="P31" s="77">
        <v>88564.68</v>
      </c>
      <c r="Q31" s="77">
        <v>0</v>
      </c>
      <c r="R31" s="77">
        <v>3656.3599999999997</v>
      </c>
      <c r="S31" s="77">
        <v>0</v>
      </c>
    </row>
    <row r="32" spans="1:19" x14ac:dyDescent="0.35">
      <c r="A32" s="57" t="s">
        <v>755</v>
      </c>
      <c r="B32" s="55">
        <f t="shared" si="0"/>
        <v>17723661.29999999</v>
      </c>
      <c r="C32" s="77">
        <v>4108471.7699999888</v>
      </c>
      <c r="D32" s="77">
        <v>103055.35</v>
      </c>
      <c r="E32" s="77">
        <v>76128.33</v>
      </c>
      <c r="F32" s="77">
        <v>665852.57000000041</v>
      </c>
      <c r="G32" s="77">
        <v>311757.73999999987</v>
      </c>
      <c r="H32" s="77">
        <v>3742247.5500000003</v>
      </c>
      <c r="I32" s="77">
        <v>819772.28999999946</v>
      </c>
      <c r="J32" s="77">
        <v>158742.9599999999</v>
      </c>
      <c r="K32" s="77">
        <v>727982.49000000069</v>
      </c>
      <c r="L32" s="77">
        <v>1082214.9500000004</v>
      </c>
      <c r="M32" s="77">
        <v>102757.22000000002</v>
      </c>
      <c r="N32" s="77">
        <v>539581.86000000034</v>
      </c>
      <c r="O32" s="77">
        <v>870994.70999999985</v>
      </c>
      <c r="P32" s="77">
        <v>1103636.5100000035</v>
      </c>
      <c r="Q32" s="77">
        <v>248575.02000000002</v>
      </c>
      <c r="R32" s="77">
        <v>1816031.1399999983</v>
      </c>
      <c r="S32" s="77">
        <v>1245858.8399999987</v>
      </c>
    </row>
    <row r="33" spans="1:19" x14ac:dyDescent="0.35">
      <c r="A33" s="56" t="s">
        <v>756</v>
      </c>
      <c r="B33" s="55">
        <f t="shared" si="0"/>
        <v>368982.51</v>
      </c>
      <c r="C33" s="77">
        <v>283167.69000000006</v>
      </c>
      <c r="D33" s="77">
        <v>0</v>
      </c>
      <c r="E33" s="77">
        <v>0</v>
      </c>
      <c r="F33" s="77">
        <v>0</v>
      </c>
      <c r="G33" s="77">
        <v>0</v>
      </c>
      <c r="H33" s="77">
        <v>67969.84</v>
      </c>
      <c r="I33" s="77">
        <v>88.48</v>
      </c>
      <c r="J33" s="77">
        <v>0</v>
      </c>
      <c r="K33" s="77">
        <v>3742.7100000000005</v>
      </c>
      <c r="L33" s="77">
        <v>9522.7799999999988</v>
      </c>
      <c r="M33" s="77">
        <v>0</v>
      </c>
      <c r="N33" s="77">
        <v>0</v>
      </c>
      <c r="O33" s="77">
        <v>0</v>
      </c>
      <c r="P33" s="77">
        <v>4491.01</v>
      </c>
      <c r="Q33" s="77">
        <v>0</v>
      </c>
      <c r="R33" s="77">
        <v>0</v>
      </c>
      <c r="S33" s="77">
        <v>0</v>
      </c>
    </row>
    <row r="34" spans="1:19" ht="29" x14ac:dyDescent="0.35">
      <c r="A34" s="56" t="s">
        <v>757</v>
      </c>
      <c r="B34" s="55">
        <f t="shared" si="0"/>
        <v>1390141.1599999992</v>
      </c>
      <c r="C34" s="77">
        <v>0</v>
      </c>
      <c r="D34" s="77">
        <v>0</v>
      </c>
      <c r="E34" s="77">
        <v>0</v>
      </c>
      <c r="F34" s="77">
        <v>0</v>
      </c>
      <c r="G34" s="77">
        <v>0</v>
      </c>
      <c r="H34" s="77">
        <v>621106.11999999976</v>
      </c>
      <c r="I34" s="77">
        <v>0</v>
      </c>
      <c r="J34" s="77">
        <v>0</v>
      </c>
      <c r="K34" s="77">
        <v>0</v>
      </c>
      <c r="L34" s="77">
        <v>0</v>
      </c>
      <c r="M34" s="77">
        <v>0</v>
      </c>
      <c r="N34" s="77">
        <v>769035.03999999957</v>
      </c>
      <c r="O34" s="77">
        <v>0</v>
      </c>
      <c r="P34" s="77">
        <v>0</v>
      </c>
      <c r="Q34" s="77">
        <v>0</v>
      </c>
      <c r="R34" s="77">
        <v>0</v>
      </c>
      <c r="S34" s="77">
        <v>0</v>
      </c>
    </row>
    <row r="35" spans="1:19" ht="43.5" x14ac:dyDescent="0.35">
      <c r="A35" s="56" t="s">
        <v>758</v>
      </c>
      <c r="B35" s="55">
        <f t="shared" si="0"/>
        <v>7689.26</v>
      </c>
      <c r="C35" s="77">
        <v>0</v>
      </c>
      <c r="D35" s="77">
        <v>0</v>
      </c>
      <c r="E35" s="77">
        <v>0</v>
      </c>
      <c r="F35" s="77">
        <v>0</v>
      </c>
      <c r="G35" s="77">
        <v>0</v>
      </c>
      <c r="H35" s="77">
        <v>0</v>
      </c>
      <c r="I35" s="77">
        <v>0</v>
      </c>
      <c r="J35" s="77">
        <v>0</v>
      </c>
      <c r="K35" s="77">
        <v>0</v>
      </c>
      <c r="L35" s="77">
        <v>0</v>
      </c>
      <c r="M35" s="77">
        <v>0</v>
      </c>
      <c r="N35" s="77">
        <v>7689.26</v>
      </c>
      <c r="O35" s="77">
        <v>0</v>
      </c>
      <c r="P35" s="77">
        <v>0</v>
      </c>
      <c r="Q35" s="77">
        <v>0</v>
      </c>
      <c r="R35" s="77">
        <v>0</v>
      </c>
      <c r="S35" s="77">
        <v>0</v>
      </c>
    </row>
    <row r="36" spans="1:19" x14ac:dyDescent="0.35">
      <c r="A36" s="79" t="s">
        <v>760</v>
      </c>
      <c r="B36" s="55">
        <f t="shared" si="0"/>
        <v>28692024.82999998</v>
      </c>
      <c r="C36" s="77">
        <v>2015150.9999999974</v>
      </c>
      <c r="D36" s="77">
        <v>781241.59999999939</v>
      </c>
      <c r="E36" s="77">
        <v>267450.53999999992</v>
      </c>
      <c r="F36" s="77">
        <v>1071264.5100000002</v>
      </c>
      <c r="G36" s="77">
        <v>4412147.7099999906</v>
      </c>
      <c r="H36" s="77">
        <v>2513769.5499999984</v>
      </c>
      <c r="I36" s="77">
        <v>1077298.530000001</v>
      </c>
      <c r="J36" s="77">
        <v>416817.12000000011</v>
      </c>
      <c r="K36" s="77">
        <v>1275587.6400000001</v>
      </c>
      <c r="L36" s="77">
        <v>3043482.010000003</v>
      </c>
      <c r="M36" s="77">
        <v>172864.74999999991</v>
      </c>
      <c r="N36" s="77">
        <v>1871253.3100000012</v>
      </c>
      <c r="O36" s="77">
        <v>434633.64999999979</v>
      </c>
      <c r="P36" s="77">
        <v>3161468.280000024</v>
      </c>
      <c r="Q36" s="77">
        <v>684711.35000000033</v>
      </c>
      <c r="R36" s="77">
        <v>3361436.2699999725</v>
      </c>
      <c r="S36" s="77">
        <v>2131447.0099999909</v>
      </c>
    </row>
    <row r="37" spans="1:19" ht="29" x14ac:dyDescent="0.35">
      <c r="A37" s="56" t="s">
        <v>892</v>
      </c>
      <c r="B37" s="55">
        <f t="shared" si="0"/>
        <v>510369.07999999984</v>
      </c>
      <c r="C37" s="77">
        <v>214060.67999999985</v>
      </c>
      <c r="D37" s="77">
        <v>0</v>
      </c>
      <c r="E37" s="77">
        <v>0</v>
      </c>
      <c r="F37" s="77">
        <v>0</v>
      </c>
      <c r="G37" s="77">
        <v>0</v>
      </c>
      <c r="H37" s="77">
        <v>289728.39999999997</v>
      </c>
      <c r="I37" s="77">
        <v>0</v>
      </c>
      <c r="J37" s="77">
        <v>0</v>
      </c>
      <c r="K37" s="77">
        <v>0</v>
      </c>
      <c r="L37" s="77">
        <v>0</v>
      </c>
      <c r="M37" s="77">
        <v>0</v>
      </c>
      <c r="N37" s="77">
        <v>0</v>
      </c>
      <c r="O37" s="77">
        <v>0</v>
      </c>
      <c r="P37" s="77">
        <v>6580</v>
      </c>
      <c r="Q37" s="77">
        <v>0</v>
      </c>
      <c r="R37" s="77">
        <v>0</v>
      </c>
      <c r="S37" s="77">
        <v>0</v>
      </c>
    </row>
    <row r="38" spans="1:19" x14ac:dyDescent="0.35">
      <c r="A38" s="79" t="s">
        <v>761</v>
      </c>
      <c r="B38" s="55">
        <f t="shared" si="0"/>
        <v>25858761.159999978</v>
      </c>
      <c r="C38" s="77">
        <v>2364565.8199999966</v>
      </c>
      <c r="D38" s="77">
        <v>583600.85</v>
      </c>
      <c r="E38" s="77">
        <v>350928.48</v>
      </c>
      <c r="F38" s="77">
        <v>1109883.129999999</v>
      </c>
      <c r="G38" s="77">
        <v>1310256.0999999999</v>
      </c>
      <c r="H38" s="77">
        <v>7029343.9800000004</v>
      </c>
      <c r="I38" s="77">
        <v>889417.08</v>
      </c>
      <c r="J38" s="77">
        <v>228885.74999999997</v>
      </c>
      <c r="K38" s="77">
        <v>908958.53999999992</v>
      </c>
      <c r="L38" s="77">
        <v>1802237.0199999998</v>
      </c>
      <c r="M38" s="77">
        <v>238552.34999999998</v>
      </c>
      <c r="N38" s="77">
        <v>990096.4</v>
      </c>
      <c r="O38" s="77">
        <v>161230.39999999999</v>
      </c>
      <c r="P38" s="77">
        <v>1480356.23</v>
      </c>
      <c r="Q38" s="77">
        <v>847469.90000000014</v>
      </c>
      <c r="R38" s="77">
        <v>4023134.8399999845</v>
      </c>
      <c r="S38" s="77">
        <v>1539844.2900000014</v>
      </c>
    </row>
    <row r="39" spans="1:19" ht="29" x14ac:dyDescent="0.35">
      <c r="A39" s="56" t="s">
        <v>762</v>
      </c>
      <c r="B39" s="55">
        <f t="shared" si="0"/>
        <v>573938.25</v>
      </c>
      <c r="C39" s="77">
        <v>0</v>
      </c>
      <c r="D39" s="77">
        <v>0</v>
      </c>
      <c r="E39" s="77">
        <v>0</v>
      </c>
      <c r="F39" s="77">
        <v>0</v>
      </c>
      <c r="G39" s="77">
        <v>0</v>
      </c>
      <c r="H39" s="77">
        <v>573938.25</v>
      </c>
      <c r="I39" s="77">
        <v>0</v>
      </c>
      <c r="J39" s="77">
        <v>0</v>
      </c>
      <c r="K39" s="77">
        <v>0</v>
      </c>
      <c r="L39" s="77">
        <v>0</v>
      </c>
      <c r="M39" s="77">
        <v>0</v>
      </c>
      <c r="N39" s="77">
        <v>0</v>
      </c>
      <c r="O39" s="77">
        <v>0</v>
      </c>
      <c r="P39" s="77">
        <v>0</v>
      </c>
      <c r="Q39" s="77">
        <v>0</v>
      </c>
      <c r="R39" s="77">
        <v>0</v>
      </c>
      <c r="S39" s="77">
        <v>0</v>
      </c>
    </row>
    <row r="40" spans="1:19" ht="29" x14ac:dyDescent="0.35">
      <c r="A40" s="56" t="s">
        <v>763</v>
      </c>
      <c r="B40" s="55">
        <f t="shared" si="0"/>
        <v>28800</v>
      </c>
      <c r="C40" s="77">
        <v>0</v>
      </c>
      <c r="D40" s="77">
        <v>0</v>
      </c>
      <c r="E40" s="77">
        <v>0</v>
      </c>
      <c r="F40" s="77">
        <v>0</v>
      </c>
      <c r="G40" s="77">
        <v>0</v>
      </c>
      <c r="H40" s="77">
        <v>28800</v>
      </c>
      <c r="I40" s="77">
        <v>0</v>
      </c>
      <c r="J40" s="77">
        <v>0</v>
      </c>
      <c r="K40" s="77">
        <v>0</v>
      </c>
      <c r="L40" s="77">
        <v>0</v>
      </c>
      <c r="M40" s="77">
        <v>0</v>
      </c>
      <c r="N40" s="77">
        <v>0</v>
      </c>
      <c r="O40" s="77">
        <v>0</v>
      </c>
      <c r="P40" s="77">
        <v>0</v>
      </c>
      <c r="Q40" s="77">
        <v>0</v>
      </c>
      <c r="R40" s="77">
        <v>0</v>
      </c>
      <c r="S40" s="77">
        <v>0</v>
      </c>
    </row>
    <row r="41" spans="1:19" ht="29" x14ac:dyDescent="0.35">
      <c r="A41" s="56" t="s">
        <v>893</v>
      </c>
      <c r="B41" s="55">
        <f t="shared" si="0"/>
        <v>0</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row>
    <row r="42" spans="1:19" ht="43.5" x14ac:dyDescent="0.35">
      <c r="A42" s="56" t="s">
        <v>894</v>
      </c>
      <c r="B42" s="55">
        <f t="shared" si="0"/>
        <v>0</v>
      </c>
      <c r="C42" s="77">
        <v>0</v>
      </c>
      <c r="D42" s="77">
        <v>0</v>
      </c>
      <c r="E42" s="77">
        <v>0</v>
      </c>
      <c r="F42" s="77">
        <v>0</v>
      </c>
      <c r="G42" s="77">
        <v>0</v>
      </c>
      <c r="H42" s="77">
        <v>0</v>
      </c>
      <c r="I42" s="77">
        <v>0</v>
      </c>
      <c r="J42" s="77">
        <v>0</v>
      </c>
      <c r="K42" s="77">
        <v>0</v>
      </c>
      <c r="L42" s="77">
        <v>0</v>
      </c>
      <c r="M42" s="77">
        <v>0</v>
      </c>
      <c r="N42" s="77">
        <v>0</v>
      </c>
      <c r="O42" s="77">
        <v>0</v>
      </c>
      <c r="P42" s="77">
        <v>0</v>
      </c>
      <c r="Q42" s="77">
        <v>0</v>
      </c>
      <c r="R42" s="77">
        <v>0</v>
      </c>
      <c r="S42" s="77">
        <v>0</v>
      </c>
    </row>
    <row r="43" spans="1:19" ht="58" x14ac:dyDescent="0.35">
      <c r="A43" s="56" t="s">
        <v>764</v>
      </c>
      <c r="B43" s="55">
        <f t="shared" si="0"/>
        <v>157039</v>
      </c>
      <c r="C43" s="77">
        <v>0</v>
      </c>
      <c r="D43" s="77">
        <v>0</v>
      </c>
      <c r="E43" s="77">
        <v>0</v>
      </c>
      <c r="F43" s="77">
        <v>0</v>
      </c>
      <c r="G43" s="77">
        <v>0</v>
      </c>
      <c r="H43" s="77">
        <v>157039</v>
      </c>
      <c r="I43" s="77">
        <v>0</v>
      </c>
      <c r="J43" s="77">
        <v>0</v>
      </c>
      <c r="K43" s="77">
        <v>0</v>
      </c>
      <c r="L43" s="77">
        <v>0</v>
      </c>
      <c r="M43" s="77">
        <v>0</v>
      </c>
      <c r="N43" s="77">
        <v>0</v>
      </c>
      <c r="O43" s="77">
        <v>0</v>
      </c>
      <c r="P43" s="77">
        <v>0</v>
      </c>
      <c r="Q43" s="77">
        <v>0</v>
      </c>
      <c r="R43" s="77">
        <v>0</v>
      </c>
      <c r="S43" s="77">
        <v>0</v>
      </c>
    </row>
    <row r="44" spans="1:19" x14ac:dyDescent="0.35">
      <c r="A44" s="56" t="s">
        <v>895</v>
      </c>
      <c r="B44" s="55">
        <f t="shared" si="0"/>
        <v>1678904.1899999911</v>
      </c>
      <c r="C44" s="77">
        <v>1678904.1899999911</v>
      </c>
      <c r="D44" s="77">
        <v>0</v>
      </c>
      <c r="E44" s="77">
        <v>0</v>
      </c>
      <c r="F44" s="77">
        <v>0</v>
      </c>
      <c r="G44" s="77">
        <v>0</v>
      </c>
      <c r="H44" s="77">
        <v>0</v>
      </c>
      <c r="I44" s="77">
        <v>0</v>
      </c>
      <c r="J44" s="77">
        <v>0</v>
      </c>
      <c r="K44" s="77">
        <v>0</v>
      </c>
      <c r="L44" s="77">
        <v>0</v>
      </c>
      <c r="M44" s="77">
        <v>0</v>
      </c>
      <c r="N44" s="77">
        <v>0</v>
      </c>
      <c r="O44" s="77">
        <v>0</v>
      </c>
      <c r="P44" s="77">
        <v>0</v>
      </c>
      <c r="Q44" s="77">
        <v>0</v>
      </c>
      <c r="R44" s="77">
        <v>0</v>
      </c>
      <c r="S44" s="77">
        <v>0</v>
      </c>
    </row>
    <row r="45" spans="1:19" x14ac:dyDescent="0.35">
      <c r="A45" s="56" t="s">
        <v>896</v>
      </c>
      <c r="B45" s="55">
        <f t="shared" si="0"/>
        <v>6022635.579999987</v>
      </c>
      <c r="C45" s="77">
        <v>5709673.4399999864</v>
      </c>
      <c r="D45" s="77">
        <v>24315.24</v>
      </c>
      <c r="E45" s="77">
        <v>0</v>
      </c>
      <c r="F45" s="77">
        <v>0</v>
      </c>
      <c r="G45" s="77">
        <v>0</v>
      </c>
      <c r="H45" s="77">
        <v>288646.90000000002</v>
      </c>
      <c r="I45" s="77">
        <v>0</v>
      </c>
      <c r="J45" s="77">
        <v>0</v>
      </c>
      <c r="K45" s="77">
        <v>0</v>
      </c>
      <c r="L45" s="77">
        <v>0</v>
      </c>
      <c r="M45" s="77">
        <v>0</v>
      </c>
      <c r="N45" s="77">
        <v>0</v>
      </c>
      <c r="O45" s="77">
        <v>0</v>
      </c>
      <c r="P45" s="77">
        <v>0</v>
      </c>
      <c r="Q45" s="77">
        <v>0</v>
      </c>
      <c r="R45" s="77">
        <v>0</v>
      </c>
      <c r="S45" s="77">
        <v>0</v>
      </c>
    </row>
    <row r="46" spans="1:19" ht="29" x14ac:dyDescent="0.35">
      <c r="A46" s="80" t="s">
        <v>736</v>
      </c>
      <c r="B46" s="55">
        <f t="shared" si="0"/>
        <v>13110195.530000001</v>
      </c>
      <c r="C46" s="77">
        <v>3203484.2900000028</v>
      </c>
      <c r="D46" s="77">
        <v>296565.48000000045</v>
      </c>
      <c r="E46" s="77">
        <v>40.03</v>
      </c>
      <c r="F46" s="77">
        <v>935518.87999999907</v>
      </c>
      <c r="G46" s="77">
        <v>1567279.3300000012</v>
      </c>
      <c r="H46" s="77">
        <v>2251662.9299999988</v>
      </c>
      <c r="I46" s="77">
        <v>2589.25</v>
      </c>
      <c r="J46" s="77">
        <v>62904.63</v>
      </c>
      <c r="K46" s="77">
        <v>21203.120000000006</v>
      </c>
      <c r="L46" s="77">
        <v>199436.11</v>
      </c>
      <c r="M46" s="77">
        <v>220939.68000000005</v>
      </c>
      <c r="N46" s="77">
        <v>632173.5900000002</v>
      </c>
      <c r="O46" s="77">
        <v>1434</v>
      </c>
      <c r="P46" s="77">
        <v>650078.25999999931</v>
      </c>
      <c r="Q46" s="77">
        <v>1345540.6500000001</v>
      </c>
      <c r="R46" s="77">
        <v>977506.8600000008</v>
      </c>
      <c r="S46" s="77">
        <v>741838.43999999843</v>
      </c>
    </row>
    <row r="47" spans="1:19" x14ac:dyDescent="0.35">
      <c r="A47" s="56" t="s">
        <v>897</v>
      </c>
      <c r="B47" s="55">
        <f t="shared" si="0"/>
        <v>3475409.24</v>
      </c>
      <c r="C47" s="77">
        <v>49512.159999999996</v>
      </c>
      <c r="D47" s="77">
        <v>86563.569999999992</v>
      </c>
      <c r="E47" s="77">
        <v>719596.03999999992</v>
      </c>
      <c r="F47" s="77">
        <v>347064.19</v>
      </c>
      <c r="G47" s="77">
        <v>368706.99000000005</v>
      </c>
      <c r="H47" s="77">
        <v>184690.61</v>
      </c>
      <c r="I47" s="77">
        <v>140234.19999999998</v>
      </c>
      <c r="J47" s="77">
        <v>5196.8599999999997</v>
      </c>
      <c r="K47" s="77">
        <v>74731.489999999991</v>
      </c>
      <c r="L47" s="77">
        <v>151289.26000000004</v>
      </c>
      <c r="M47" s="77">
        <v>81570.95</v>
      </c>
      <c r="N47" s="77">
        <v>189835.20000000004</v>
      </c>
      <c r="O47" s="77">
        <v>53121.57</v>
      </c>
      <c r="P47" s="77">
        <v>138872.44999999998</v>
      </c>
      <c r="Q47" s="77">
        <v>30535.59</v>
      </c>
      <c r="R47" s="77">
        <v>356157.06999999995</v>
      </c>
      <c r="S47" s="77">
        <v>497731.04000000015</v>
      </c>
    </row>
    <row r="48" spans="1:19" x14ac:dyDescent="0.35">
      <c r="A48" s="56" t="s">
        <v>898</v>
      </c>
      <c r="B48" s="55">
        <f t="shared" si="0"/>
        <v>4527048.580000001</v>
      </c>
      <c r="C48" s="77">
        <v>263638.38</v>
      </c>
      <c r="D48" s="77">
        <v>0</v>
      </c>
      <c r="E48" s="77">
        <v>0</v>
      </c>
      <c r="F48" s="77">
        <v>0</v>
      </c>
      <c r="G48" s="77">
        <v>0</v>
      </c>
      <c r="H48" s="77">
        <v>3512609.9000000008</v>
      </c>
      <c r="I48" s="77">
        <v>0</v>
      </c>
      <c r="J48" s="77">
        <v>16826.64</v>
      </c>
      <c r="K48" s="77">
        <v>0</v>
      </c>
      <c r="L48" s="77">
        <v>0</v>
      </c>
      <c r="M48" s="77">
        <v>0</v>
      </c>
      <c r="N48" s="77">
        <v>0</v>
      </c>
      <c r="O48" s="77">
        <v>0</v>
      </c>
      <c r="P48" s="77">
        <v>733454.29</v>
      </c>
      <c r="Q48" s="77">
        <v>519.37</v>
      </c>
      <c r="R48" s="77">
        <v>0</v>
      </c>
      <c r="S48" s="77">
        <v>0</v>
      </c>
    </row>
    <row r="49" spans="1:19" x14ac:dyDescent="0.35">
      <c r="A49" s="81" t="s">
        <v>899</v>
      </c>
      <c r="B49" s="82">
        <f t="shared" si="0"/>
        <v>33352283.159999873</v>
      </c>
      <c r="C49" s="77">
        <v>6198303.6299999142</v>
      </c>
      <c r="D49" s="77">
        <v>563936.5</v>
      </c>
      <c r="E49" s="77">
        <v>174808.1</v>
      </c>
      <c r="F49" s="77">
        <v>1051124.3199999998</v>
      </c>
      <c r="G49" s="77">
        <v>3835732.19</v>
      </c>
      <c r="H49" s="77">
        <v>8613041.4999999702</v>
      </c>
      <c r="I49" s="77">
        <v>478317.06000000006</v>
      </c>
      <c r="J49" s="77">
        <v>315510.55999999994</v>
      </c>
      <c r="K49" s="77">
        <v>455391.18</v>
      </c>
      <c r="L49" s="77">
        <v>1359455.2199999979</v>
      </c>
      <c r="M49" s="77">
        <v>194571.2</v>
      </c>
      <c r="N49" s="77">
        <v>2049410.5899999968</v>
      </c>
      <c r="O49" s="77">
        <v>305881.5</v>
      </c>
      <c r="P49" s="77">
        <v>4426947.7099999962</v>
      </c>
      <c r="Q49" s="77">
        <v>577742.09000000008</v>
      </c>
      <c r="R49" s="77">
        <v>905438.93000000203</v>
      </c>
      <c r="S49" s="77">
        <v>1846670.8799999997</v>
      </c>
    </row>
    <row r="50" spans="1:19" x14ac:dyDescent="0.35">
      <c r="A50" s="56" t="s">
        <v>900</v>
      </c>
      <c r="B50" s="55">
        <f t="shared" si="0"/>
        <v>34903098.879999995</v>
      </c>
      <c r="C50" s="77">
        <v>5447184.7599999988</v>
      </c>
      <c r="D50" s="77">
        <v>0</v>
      </c>
      <c r="E50" s="77">
        <v>0</v>
      </c>
      <c r="F50" s="77">
        <v>0</v>
      </c>
      <c r="G50" s="77">
        <v>0</v>
      </c>
      <c r="H50" s="77">
        <v>24960132.119999997</v>
      </c>
      <c r="I50" s="77">
        <v>0</v>
      </c>
      <c r="J50" s="77">
        <v>0</v>
      </c>
      <c r="K50" s="77">
        <v>0</v>
      </c>
      <c r="L50" s="77">
        <v>0</v>
      </c>
      <c r="M50" s="77">
        <v>0</v>
      </c>
      <c r="N50" s="77">
        <v>0</v>
      </c>
      <c r="O50" s="77">
        <v>0</v>
      </c>
      <c r="P50" s="77">
        <v>4495782</v>
      </c>
      <c r="Q50" s="77">
        <v>0</v>
      </c>
      <c r="R50" s="77">
        <v>0</v>
      </c>
      <c r="S50" s="77">
        <v>0</v>
      </c>
    </row>
    <row r="51" spans="1:19" ht="29" x14ac:dyDescent="0.35">
      <c r="A51" s="56" t="s">
        <v>901</v>
      </c>
      <c r="B51" s="55">
        <f t="shared" si="0"/>
        <v>1113137.1299999999</v>
      </c>
      <c r="C51" s="77">
        <v>235370</v>
      </c>
      <c r="D51" s="77">
        <v>19800</v>
      </c>
      <c r="E51" s="77">
        <v>5750</v>
      </c>
      <c r="F51" s="77">
        <v>23770</v>
      </c>
      <c r="G51" s="77">
        <v>120150</v>
      </c>
      <c r="H51" s="77">
        <v>313855</v>
      </c>
      <c r="I51" s="77">
        <v>22750</v>
      </c>
      <c r="J51" s="77">
        <v>7200</v>
      </c>
      <c r="K51" s="77">
        <v>15529.130000000001</v>
      </c>
      <c r="L51" s="77">
        <v>78150</v>
      </c>
      <c r="M51" s="77">
        <v>1350</v>
      </c>
      <c r="N51" s="77">
        <v>46100</v>
      </c>
      <c r="O51" s="77">
        <v>6400</v>
      </c>
      <c r="P51" s="77">
        <v>110750</v>
      </c>
      <c r="Q51" s="77">
        <v>12600</v>
      </c>
      <c r="R51" s="77">
        <v>40833</v>
      </c>
      <c r="S51" s="77">
        <v>52780</v>
      </c>
    </row>
    <row r="52" spans="1:19" x14ac:dyDescent="0.35">
      <c r="A52" s="56" t="s">
        <v>902</v>
      </c>
      <c r="B52" s="55">
        <f t="shared" si="0"/>
        <v>129754.35</v>
      </c>
      <c r="C52" s="77">
        <v>120281.85</v>
      </c>
      <c r="D52" s="77">
        <v>0</v>
      </c>
      <c r="E52" s="77">
        <v>0</v>
      </c>
      <c r="F52" s="77">
        <v>0</v>
      </c>
      <c r="G52" s="77">
        <v>0</v>
      </c>
      <c r="H52" s="77">
        <v>9472.5</v>
      </c>
      <c r="I52" s="77">
        <v>0</v>
      </c>
      <c r="J52" s="77">
        <v>0</v>
      </c>
      <c r="K52" s="77">
        <v>0</v>
      </c>
      <c r="L52" s="77">
        <v>0</v>
      </c>
      <c r="M52" s="77">
        <v>0</v>
      </c>
      <c r="N52" s="77">
        <v>0</v>
      </c>
      <c r="O52" s="77">
        <v>0</v>
      </c>
      <c r="P52" s="77">
        <v>0</v>
      </c>
      <c r="Q52" s="77">
        <v>0</v>
      </c>
      <c r="R52" s="77">
        <v>0</v>
      </c>
      <c r="S52" s="77">
        <v>0</v>
      </c>
    </row>
    <row r="53" spans="1:19" ht="29" x14ac:dyDescent="0.35">
      <c r="A53" s="56" t="s">
        <v>903</v>
      </c>
      <c r="B53" s="55">
        <f t="shared" si="0"/>
        <v>465054.5</v>
      </c>
      <c r="C53" s="77">
        <v>94500</v>
      </c>
      <c r="D53" s="77">
        <v>1500</v>
      </c>
      <c r="E53" s="77">
        <v>0</v>
      </c>
      <c r="F53" s="77">
        <v>13500</v>
      </c>
      <c r="G53" s="77">
        <v>53250</v>
      </c>
      <c r="H53" s="77">
        <v>116250</v>
      </c>
      <c r="I53" s="77">
        <v>2250</v>
      </c>
      <c r="J53" s="77">
        <v>3000</v>
      </c>
      <c r="K53" s="77">
        <v>4500</v>
      </c>
      <c r="L53" s="77">
        <v>24000</v>
      </c>
      <c r="M53" s="77">
        <v>1500</v>
      </c>
      <c r="N53" s="77">
        <v>12000</v>
      </c>
      <c r="O53" s="77">
        <v>4500</v>
      </c>
      <c r="P53" s="77">
        <v>66750</v>
      </c>
      <c r="Q53" s="77">
        <v>6750</v>
      </c>
      <c r="R53" s="77">
        <v>44304.5</v>
      </c>
      <c r="S53" s="77">
        <v>16500</v>
      </c>
    </row>
    <row r="54" spans="1:19" ht="58" x14ac:dyDescent="0.35">
      <c r="A54" s="56" t="s">
        <v>904</v>
      </c>
      <c r="B54" s="55">
        <f t="shared" si="0"/>
        <v>104.92</v>
      </c>
      <c r="C54" s="77">
        <v>104.92</v>
      </c>
      <c r="D54" s="77">
        <v>0</v>
      </c>
      <c r="E54" s="77">
        <v>0</v>
      </c>
      <c r="F54" s="77">
        <v>0</v>
      </c>
      <c r="G54" s="77">
        <v>0</v>
      </c>
      <c r="H54" s="77">
        <v>0</v>
      </c>
      <c r="I54" s="77">
        <v>0</v>
      </c>
      <c r="J54" s="77">
        <v>0</v>
      </c>
      <c r="K54" s="77">
        <v>0</v>
      </c>
      <c r="L54" s="77">
        <v>0</v>
      </c>
      <c r="M54" s="77">
        <v>0</v>
      </c>
      <c r="N54" s="77">
        <v>0</v>
      </c>
      <c r="O54" s="77">
        <v>0</v>
      </c>
      <c r="P54" s="77">
        <v>0</v>
      </c>
      <c r="Q54" s="77">
        <v>0</v>
      </c>
      <c r="R54" s="77">
        <v>0</v>
      </c>
      <c r="S54" s="77">
        <v>0</v>
      </c>
    </row>
    <row r="55" spans="1:19" x14ac:dyDescent="0.35">
      <c r="A55" s="56" t="s">
        <v>905</v>
      </c>
      <c r="B55" s="55">
        <f t="shared" si="0"/>
        <v>75347.190000000017</v>
      </c>
      <c r="C55" s="77">
        <v>48581.590000000011</v>
      </c>
      <c r="D55" s="77">
        <v>6575.2899999999991</v>
      </c>
      <c r="E55" s="77">
        <v>0</v>
      </c>
      <c r="F55" s="77">
        <v>0</v>
      </c>
      <c r="G55" s="77">
        <v>0</v>
      </c>
      <c r="H55" s="77">
        <v>780</v>
      </c>
      <c r="I55" s="77">
        <v>0</v>
      </c>
      <c r="J55" s="77">
        <v>0</v>
      </c>
      <c r="K55" s="77">
        <v>0</v>
      </c>
      <c r="L55" s="77">
        <v>0</v>
      </c>
      <c r="M55" s="77">
        <v>0</v>
      </c>
      <c r="N55" s="77">
        <v>3668.9700000000003</v>
      </c>
      <c r="O55" s="77">
        <v>0</v>
      </c>
      <c r="P55" s="77">
        <v>0</v>
      </c>
      <c r="Q55" s="77">
        <v>0</v>
      </c>
      <c r="R55" s="77">
        <v>15741.339999999998</v>
      </c>
      <c r="S55" s="77">
        <v>0</v>
      </c>
    </row>
    <row r="56" spans="1:19" x14ac:dyDescent="0.35">
      <c r="A56" s="56" t="s">
        <v>906</v>
      </c>
      <c r="B56" s="55">
        <f t="shared" si="0"/>
        <v>0</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row>
    <row r="57" spans="1:19" ht="29" x14ac:dyDescent="0.35">
      <c r="A57" s="56" t="s">
        <v>907</v>
      </c>
      <c r="B57" s="55">
        <f t="shared" si="0"/>
        <v>135640</v>
      </c>
      <c r="C57" s="77">
        <v>41140</v>
      </c>
      <c r="D57" s="77">
        <v>89270</v>
      </c>
      <c r="E57" s="77">
        <v>0</v>
      </c>
      <c r="F57" s="77">
        <v>0</v>
      </c>
      <c r="G57" s="77">
        <v>0</v>
      </c>
      <c r="H57" s="77">
        <v>2500</v>
      </c>
      <c r="I57" s="77">
        <v>0</v>
      </c>
      <c r="J57" s="77">
        <v>0</v>
      </c>
      <c r="K57" s="77">
        <v>0</v>
      </c>
      <c r="L57" s="77">
        <v>0</v>
      </c>
      <c r="M57" s="77">
        <v>0</v>
      </c>
      <c r="N57" s="77">
        <v>1430</v>
      </c>
      <c r="O57" s="77">
        <v>1300</v>
      </c>
      <c r="P57" s="77">
        <v>0</v>
      </c>
      <c r="Q57" s="77">
        <v>0</v>
      </c>
      <c r="R57" s="77">
        <v>0</v>
      </c>
      <c r="S57" s="77">
        <v>0</v>
      </c>
    </row>
    <row r="58" spans="1:19" ht="29" x14ac:dyDescent="0.35">
      <c r="A58" s="56" t="s">
        <v>908</v>
      </c>
      <c r="B58" s="55">
        <f t="shared" si="0"/>
        <v>295862.73000000004</v>
      </c>
      <c r="C58" s="77">
        <v>125462.90999999999</v>
      </c>
      <c r="D58" s="77">
        <v>130812.54000000001</v>
      </c>
      <c r="E58" s="77">
        <v>0</v>
      </c>
      <c r="F58" s="77">
        <v>0</v>
      </c>
      <c r="G58" s="77">
        <v>12450.97</v>
      </c>
      <c r="H58" s="77">
        <v>5855.29</v>
      </c>
      <c r="I58" s="77">
        <v>4340</v>
      </c>
      <c r="J58" s="77">
        <v>0</v>
      </c>
      <c r="K58" s="77">
        <v>1680</v>
      </c>
      <c r="L58" s="77">
        <v>0</v>
      </c>
      <c r="M58" s="77">
        <v>0</v>
      </c>
      <c r="N58" s="77">
        <v>3170.59</v>
      </c>
      <c r="O58" s="77">
        <v>6149.78</v>
      </c>
      <c r="P58" s="77">
        <v>0</v>
      </c>
      <c r="Q58" s="77">
        <v>0</v>
      </c>
      <c r="R58" s="77">
        <v>0</v>
      </c>
      <c r="S58" s="77">
        <v>5940.65</v>
      </c>
    </row>
    <row r="59" spans="1:19" ht="29" x14ac:dyDescent="0.35">
      <c r="A59" s="56" t="s">
        <v>909</v>
      </c>
      <c r="B59" s="55">
        <f t="shared" si="0"/>
        <v>15534443.669999996</v>
      </c>
      <c r="C59" s="77">
        <v>4892380.2300000004</v>
      </c>
      <c r="D59" s="77">
        <v>7241462.7499999963</v>
      </c>
      <c r="E59" s="77">
        <v>0</v>
      </c>
      <c r="F59" s="77">
        <v>1002346.8499999999</v>
      </c>
      <c r="G59" s="77">
        <v>454680.56</v>
      </c>
      <c r="H59" s="77">
        <v>654692.62</v>
      </c>
      <c r="I59" s="77">
        <v>141340.59</v>
      </c>
      <c r="J59" s="77">
        <v>0</v>
      </c>
      <c r="K59" s="77">
        <v>67440</v>
      </c>
      <c r="L59" s="77">
        <v>0</v>
      </c>
      <c r="M59" s="77">
        <v>0</v>
      </c>
      <c r="N59" s="77">
        <v>175511.5</v>
      </c>
      <c r="O59" s="77">
        <v>197539.51</v>
      </c>
      <c r="P59" s="77">
        <v>189796.43</v>
      </c>
      <c r="Q59" s="77">
        <v>115370.33</v>
      </c>
      <c r="R59" s="77">
        <v>103530</v>
      </c>
      <c r="S59" s="77">
        <v>298352.3</v>
      </c>
    </row>
    <row r="60" spans="1:19" ht="29" x14ac:dyDescent="0.35">
      <c r="A60" s="56" t="s">
        <v>910</v>
      </c>
      <c r="B60" s="55">
        <f t="shared" si="0"/>
        <v>846873.40999999992</v>
      </c>
      <c r="C60" s="77">
        <v>0</v>
      </c>
      <c r="D60" s="77">
        <v>846873.40999999992</v>
      </c>
      <c r="E60" s="77">
        <v>0</v>
      </c>
      <c r="F60" s="77">
        <v>0</v>
      </c>
      <c r="G60" s="77">
        <v>0</v>
      </c>
      <c r="H60" s="77">
        <v>0</v>
      </c>
      <c r="I60" s="77">
        <v>0</v>
      </c>
      <c r="J60" s="77">
        <v>0</v>
      </c>
      <c r="K60" s="77">
        <v>0</v>
      </c>
      <c r="L60" s="77">
        <v>0</v>
      </c>
      <c r="M60" s="77">
        <v>0</v>
      </c>
      <c r="N60" s="77">
        <v>0</v>
      </c>
      <c r="O60" s="77">
        <v>0</v>
      </c>
      <c r="P60" s="77">
        <v>0</v>
      </c>
      <c r="Q60" s="77">
        <v>0</v>
      </c>
      <c r="R60" s="77">
        <v>0</v>
      </c>
      <c r="S60" s="77">
        <v>0</v>
      </c>
    </row>
    <row r="61" spans="1:19" x14ac:dyDescent="0.35">
      <c r="A61" s="56" t="s">
        <v>911</v>
      </c>
      <c r="B61" s="55">
        <f t="shared" si="0"/>
        <v>-66803.399999998874</v>
      </c>
      <c r="C61" s="77">
        <v>-66803.399999998874</v>
      </c>
      <c r="D61" s="77">
        <v>0</v>
      </c>
      <c r="E61" s="77">
        <v>0</v>
      </c>
      <c r="F61" s="77">
        <v>0</v>
      </c>
      <c r="G61" s="77">
        <v>0</v>
      </c>
      <c r="H61" s="77">
        <v>0</v>
      </c>
      <c r="I61" s="77">
        <v>0</v>
      </c>
      <c r="J61" s="77">
        <v>0</v>
      </c>
      <c r="K61" s="77">
        <v>0</v>
      </c>
      <c r="L61" s="77">
        <v>0</v>
      </c>
      <c r="M61" s="77">
        <v>0</v>
      </c>
      <c r="N61" s="77">
        <v>0</v>
      </c>
      <c r="O61" s="77">
        <v>0</v>
      </c>
      <c r="P61" s="77">
        <v>0</v>
      </c>
      <c r="Q61" s="77">
        <v>0</v>
      </c>
      <c r="R61" s="77">
        <v>0</v>
      </c>
      <c r="S61" s="77">
        <v>0</v>
      </c>
    </row>
    <row r="62" spans="1:19" x14ac:dyDescent="0.35">
      <c r="A62" s="56" t="s">
        <v>912</v>
      </c>
      <c r="B62" s="55">
        <f t="shared" si="0"/>
        <v>165304.50000000239</v>
      </c>
      <c r="C62" s="77">
        <v>0</v>
      </c>
      <c r="D62" s="77">
        <v>0</v>
      </c>
      <c r="E62" s="77">
        <v>0</v>
      </c>
      <c r="F62" s="77">
        <v>0</v>
      </c>
      <c r="G62" s="77">
        <v>0</v>
      </c>
      <c r="H62" s="77">
        <v>165304.50000000239</v>
      </c>
      <c r="I62" s="77">
        <v>0</v>
      </c>
      <c r="J62" s="77">
        <v>0</v>
      </c>
      <c r="K62" s="77">
        <v>0</v>
      </c>
      <c r="L62" s="77">
        <v>0</v>
      </c>
      <c r="M62" s="77">
        <v>0</v>
      </c>
      <c r="N62" s="77">
        <v>0</v>
      </c>
      <c r="O62" s="77">
        <v>0</v>
      </c>
      <c r="P62" s="77">
        <v>0</v>
      </c>
      <c r="Q62" s="77">
        <v>0</v>
      </c>
      <c r="R62" s="77">
        <v>0</v>
      </c>
      <c r="S62" s="77">
        <v>0</v>
      </c>
    </row>
    <row r="63" spans="1:19" ht="43.5" x14ac:dyDescent="0.35">
      <c r="A63" s="56" t="s">
        <v>913</v>
      </c>
      <c r="B63" s="55">
        <f t="shared" si="0"/>
        <v>1345452.4500000004</v>
      </c>
      <c r="C63" s="77">
        <v>0</v>
      </c>
      <c r="D63" s="77">
        <v>1327469.1200000003</v>
      </c>
      <c r="E63" s="77">
        <v>0</v>
      </c>
      <c r="F63" s="77">
        <v>0</v>
      </c>
      <c r="G63" s="77">
        <v>0</v>
      </c>
      <c r="H63" s="77">
        <v>0</v>
      </c>
      <c r="I63" s="77">
        <v>0</v>
      </c>
      <c r="J63" s="77">
        <v>0</v>
      </c>
      <c r="K63" s="77">
        <v>0</v>
      </c>
      <c r="L63" s="77">
        <v>0</v>
      </c>
      <c r="M63" s="77">
        <v>0</v>
      </c>
      <c r="N63" s="77">
        <v>2710.12</v>
      </c>
      <c r="O63" s="77">
        <v>0</v>
      </c>
      <c r="P63" s="77">
        <v>3689.04</v>
      </c>
      <c r="Q63" s="77">
        <v>0</v>
      </c>
      <c r="R63" s="77">
        <v>0</v>
      </c>
      <c r="S63" s="77">
        <v>11584.17</v>
      </c>
    </row>
    <row r="64" spans="1:19" x14ac:dyDescent="0.35">
      <c r="A64" s="56" t="s">
        <v>914</v>
      </c>
      <c r="B64" s="55">
        <f t="shared" si="0"/>
        <v>9445611.4399999436</v>
      </c>
      <c r="C64" s="77">
        <v>890854.85999999917</v>
      </c>
      <c r="D64" s="77">
        <v>184008.69000000044</v>
      </c>
      <c r="E64" s="77">
        <v>73581.67</v>
      </c>
      <c r="F64" s="77">
        <v>459642.17999999877</v>
      </c>
      <c r="G64" s="77">
        <v>1487040.0099999937</v>
      </c>
      <c r="H64" s="77">
        <v>963891.35999999079</v>
      </c>
      <c r="I64" s="77">
        <v>220220.71000000034</v>
      </c>
      <c r="J64" s="77">
        <v>0</v>
      </c>
      <c r="K64" s="77">
        <v>632594.07999999449</v>
      </c>
      <c r="L64" s="77">
        <v>1188326.9999999991</v>
      </c>
      <c r="M64" s="77">
        <v>73881.850000000093</v>
      </c>
      <c r="N64" s="77">
        <v>667298.62999998778</v>
      </c>
      <c r="O64" s="77">
        <v>76016.290000000125</v>
      </c>
      <c r="P64" s="77">
        <v>1363777.1100000017</v>
      </c>
      <c r="Q64" s="77">
        <v>277634.20999999956</v>
      </c>
      <c r="R64" s="77">
        <v>442164.14999999118</v>
      </c>
      <c r="S64" s="77">
        <v>444678.63999998721</v>
      </c>
    </row>
    <row r="65" spans="1:19" x14ac:dyDescent="0.35">
      <c r="A65" s="56" t="s">
        <v>915</v>
      </c>
      <c r="B65" s="55">
        <f t="shared" si="0"/>
        <v>0</v>
      </c>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77">
        <v>0</v>
      </c>
    </row>
    <row r="66" spans="1:19" x14ac:dyDescent="0.35">
      <c r="A66" s="56" t="s">
        <v>916</v>
      </c>
      <c r="B66" s="55">
        <f t="shared" si="0"/>
        <v>117873.7099999997</v>
      </c>
      <c r="C66" s="77">
        <v>0</v>
      </c>
      <c r="D66" s="77">
        <v>0</v>
      </c>
      <c r="E66" s="77">
        <v>0</v>
      </c>
      <c r="F66" s="77">
        <v>0</v>
      </c>
      <c r="G66" s="77">
        <v>0</v>
      </c>
      <c r="H66" s="77">
        <v>0</v>
      </c>
      <c r="I66" s="77">
        <v>0</v>
      </c>
      <c r="J66" s="77">
        <v>0</v>
      </c>
      <c r="K66" s="77">
        <v>0</v>
      </c>
      <c r="L66" s="77">
        <v>0</v>
      </c>
      <c r="M66" s="77">
        <v>0</v>
      </c>
      <c r="N66" s="77">
        <v>0</v>
      </c>
      <c r="O66" s="77">
        <v>0</v>
      </c>
      <c r="P66" s="77">
        <v>117873.7099999997</v>
      </c>
      <c r="Q66" s="77">
        <v>0</v>
      </c>
      <c r="R66" s="77">
        <v>0</v>
      </c>
      <c r="S66" s="77">
        <v>0</v>
      </c>
    </row>
    <row r="67" spans="1:19" x14ac:dyDescent="0.35">
      <c r="A67" s="56" t="s">
        <v>917</v>
      </c>
      <c r="B67" s="55">
        <f t="shared" ref="B67:B86" si="1">SUM(C67:S67)</f>
        <v>0</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row>
    <row r="68" spans="1:19" ht="29" x14ac:dyDescent="0.35">
      <c r="A68" s="56" t="s">
        <v>918</v>
      </c>
      <c r="B68" s="55">
        <f t="shared" si="1"/>
        <v>717051.51</v>
      </c>
      <c r="C68" s="77">
        <v>136670</v>
      </c>
      <c r="D68" s="77">
        <v>11000</v>
      </c>
      <c r="E68" s="77">
        <v>1000</v>
      </c>
      <c r="F68" s="77">
        <v>13950</v>
      </c>
      <c r="G68" s="77">
        <v>66750</v>
      </c>
      <c r="H68" s="77">
        <v>175250</v>
      </c>
      <c r="I68" s="77">
        <v>21903.72</v>
      </c>
      <c r="J68" s="77">
        <v>4000</v>
      </c>
      <c r="K68" s="77">
        <v>17307.79</v>
      </c>
      <c r="L68" s="77">
        <v>70370</v>
      </c>
      <c r="M68" s="77">
        <v>1450</v>
      </c>
      <c r="N68" s="77">
        <v>22050</v>
      </c>
      <c r="O68" s="77">
        <v>1750</v>
      </c>
      <c r="P68" s="77">
        <v>77500</v>
      </c>
      <c r="Q68" s="77">
        <v>7000</v>
      </c>
      <c r="R68" s="77">
        <v>54350</v>
      </c>
      <c r="S68" s="77">
        <v>34750</v>
      </c>
    </row>
    <row r="69" spans="1:19" ht="58" x14ac:dyDescent="0.35">
      <c r="A69" s="56" t="s">
        <v>919</v>
      </c>
      <c r="B69" s="55">
        <f t="shared" si="1"/>
        <v>25000</v>
      </c>
      <c r="C69" s="77">
        <v>0</v>
      </c>
      <c r="D69" s="77">
        <v>0</v>
      </c>
      <c r="E69" s="77">
        <v>0</v>
      </c>
      <c r="F69" s="77">
        <v>0</v>
      </c>
      <c r="G69" s="77">
        <v>0</v>
      </c>
      <c r="H69" s="77">
        <v>0</v>
      </c>
      <c r="I69" s="77">
        <v>0</v>
      </c>
      <c r="J69" s="77">
        <v>0</v>
      </c>
      <c r="K69" s="77">
        <v>0</v>
      </c>
      <c r="L69" s="77">
        <v>0</v>
      </c>
      <c r="M69" s="77">
        <v>0</v>
      </c>
      <c r="N69" s="77">
        <v>0</v>
      </c>
      <c r="O69" s="77">
        <v>0</v>
      </c>
      <c r="P69" s="77">
        <v>0</v>
      </c>
      <c r="Q69" s="77">
        <v>0</v>
      </c>
      <c r="R69" s="77">
        <v>25000</v>
      </c>
      <c r="S69" s="77">
        <v>0</v>
      </c>
    </row>
    <row r="70" spans="1:19" ht="43.5" x14ac:dyDescent="0.35">
      <c r="A70" s="56" t="s">
        <v>920</v>
      </c>
      <c r="B70" s="55">
        <f t="shared" si="1"/>
        <v>0</v>
      </c>
      <c r="C70" s="77">
        <v>0</v>
      </c>
      <c r="D70" s="77">
        <v>0</v>
      </c>
      <c r="E70" s="77">
        <v>0</v>
      </c>
      <c r="F70" s="77">
        <v>0</v>
      </c>
      <c r="G70" s="77">
        <v>0</v>
      </c>
      <c r="H70" s="77">
        <v>0</v>
      </c>
      <c r="I70" s="77">
        <v>0</v>
      </c>
      <c r="J70" s="77">
        <v>0</v>
      </c>
      <c r="K70" s="77">
        <v>0</v>
      </c>
      <c r="L70" s="77">
        <v>0</v>
      </c>
      <c r="M70" s="77">
        <v>0</v>
      </c>
      <c r="N70" s="77">
        <v>0</v>
      </c>
      <c r="O70" s="77">
        <v>0</v>
      </c>
      <c r="P70" s="77">
        <v>0</v>
      </c>
      <c r="Q70" s="77">
        <v>0</v>
      </c>
      <c r="R70" s="77">
        <v>0</v>
      </c>
      <c r="S70" s="77">
        <v>0</v>
      </c>
    </row>
    <row r="71" spans="1:19" ht="29" x14ac:dyDescent="0.35">
      <c r="A71" s="56" t="s">
        <v>921</v>
      </c>
      <c r="B71" s="55">
        <f t="shared" si="1"/>
        <v>1285690.0400000007</v>
      </c>
      <c r="C71" s="77">
        <v>1246834.4900000007</v>
      </c>
      <c r="D71" s="77">
        <v>0</v>
      </c>
      <c r="E71" s="77">
        <v>0</v>
      </c>
      <c r="F71" s="77">
        <v>0</v>
      </c>
      <c r="G71" s="77">
        <v>0</v>
      </c>
      <c r="H71" s="77">
        <v>38855.550000000003</v>
      </c>
      <c r="I71" s="77">
        <v>0</v>
      </c>
      <c r="J71" s="77">
        <v>0</v>
      </c>
      <c r="K71" s="77">
        <v>0</v>
      </c>
      <c r="L71" s="77">
        <v>0</v>
      </c>
      <c r="M71" s="77">
        <v>0</v>
      </c>
      <c r="N71" s="77">
        <v>0</v>
      </c>
      <c r="O71" s="77">
        <v>0</v>
      </c>
      <c r="P71" s="77">
        <v>0</v>
      </c>
      <c r="Q71" s="77">
        <v>0</v>
      </c>
      <c r="R71" s="77">
        <v>0</v>
      </c>
      <c r="S71" s="77">
        <v>0</v>
      </c>
    </row>
    <row r="72" spans="1:19" ht="43.5" x14ac:dyDescent="0.35">
      <c r="A72" s="56" t="s">
        <v>922</v>
      </c>
      <c r="B72" s="55">
        <f t="shared" si="1"/>
        <v>0</v>
      </c>
      <c r="C72" s="77">
        <v>0</v>
      </c>
      <c r="D72" s="77">
        <v>0</v>
      </c>
      <c r="E72" s="77">
        <v>0</v>
      </c>
      <c r="F72" s="77">
        <v>0</v>
      </c>
      <c r="G72" s="77">
        <v>0</v>
      </c>
      <c r="H72" s="77">
        <v>0</v>
      </c>
      <c r="I72" s="77">
        <v>0</v>
      </c>
      <c r="J72" s="77">
        <v>0</v>
      </c>
      <c r="K72" s="77">
        <v>0</v>
      </c>
      <c r="L72" s="77">
        <v>0</v>
      </c>
      <c r="M72" s="77">
        <v>0</v>
      </c>
      <c r="N72" s="77">
        <v>0</v>
      </c>
      <c r="O72" s="77">
        <v>0</v>
      </c>
      <c r="P72" s="77">
        <v>0</v>
      </c>
      <c r="Q72" s="77">
        <v>0</v>
      </c>
      <c r="R72" s="77">
        <v>0</v>
      </c>
      <c r="S72" s="77">
        <v>0</v>
      </c>
    </row>
    <row r="73" spans="1:19" x14ac:dyDescent="0.35">
      <c r="A73" s="56" t="s">
        <v>923</v>
      </c>
      <c r="B73" s="55">
        <f t="shared" si="1"/>
        <v>920652.37999999989</v>
      </c>
      <c r="C73" s="77">
        <v>128184.11999999998</v>
      </c>
      <c r="D73" s="77">
        <v>29813.399999999994</v>
      </c>
      <c r="E73" s="77">
        <v>1794.1</v>
      </c>
      <c r="F73" s="77">
        <v>74204.17</v>
      </c>
      <c r="G73" s="77">
        <v>103639.26</v>
      </c>
      <c r="H73" s="77">
        <v>190390.06999999995</v>
      </c>
      <c r="I73" s="77">
        <v>13590.17</v>
      </c>
      <c r="J73" s="77">
        <v>13987.069999999996</v>
      </c>
      <c r="K73" s="77">
        <v>23951.920000000006</v>
      </c>
      <c r="L73" s="77">
        <v>37650.399999999994</v>
      </c>
      <c r="M73" s="77">
        <v>6212.7999999999993</v>
      </c>
      <c r="N73" s="77">
        <v>84521.330000000016</v>
      </c>
      <c r="O73" s="77">
        <v>8081.4000000000005</v>
      </c>
      <c r="P73" s="77">
        <v>143587.0499999999</v>
      </c>
      <c r="Q73" s="77">
        <v>29362.200000000004</v>
      </c>
      <c r="R73" s="77">
        <v>15084.440000000002</v>
      </c>
      <c r="S73" s="77">
        <v>16598.48</v>
      </c>
    </row>
    <row r="74" spans="1:19" ht="29" x14ac:dyDescent="0.35">
      <c r="A74" s="56" t="s">
        <v>924</v>
      </c>
      <c r="B74" s="55">
        <f t="shared" si="1"/>
        <v>80492.94</v>
      </c>
      <c r="C74" s="77">
        <v>0</v>
      </c>
      <c r="D74" s="77">
        <v>0</v>
      </c>
      <c r="E74" s="77">
        <v>0</v>
      </c>
      <c r="F74" s="77">
        <v>0</v>
      </c>
      <c r="G74" s="77">
        <v>0</v>
      </c>
      <c r="H74" s="77">
        <v>0</v>
      </c>
      <c r="I74" s="77">
        <v>0</v>
      </c>
      <c r="J74" s="77">
        <v>0</v>
      </c>
      <c r="K74" s="77">
        <v>0</v>
      </c>
      <c r="L74" s="77">
        <v>0</v>
      </c>
      <c r="M74" s="77">
        <v>0</v>
      </c>
      <c r="N74" s="77">
        <v>80492.94</v>
      </c>
      <c r="O74" s="77">
        <v>0</v>
      </c>
      <c r="P74" s="77">
        <v>0</v>
      </c>
      <c r="Q74" s="77">
        <v>0</v>
      </c>
      <c r="R74" s="77">
        <v>0</v>
      </c>
      <c r="S74" s="77">
        <v>0</v>
      </c>
    </row>
    <row r="75" spans="1:19" ht="58" x14ac:dyDescent="0.35">
      <c r="A75" s="56" t="s">
        <v>925</v>
      </c>
      <c r="B75" s="55">
        <f t="shared" si="1"/>
        <v>35009.530000000006</v>
      </c>
      <c r="C75" s="77">
        <v>22921.420000000006</v>
      </c>
      <c r="D75" s="77">
        <v>0</v>
      </c>
      <c r="E75" s="77">
        <v>0</v>
      </c>
      <c r="F75" s="77">
        <v>15.61</v>
      </c>
      <c r="G75" s="77">
        <v>0</v>
      </c>
      <c r="H75" s="77">
        <v>11097.4</v>
      </c>
      <c r="I75" s="77">
        <v>191.20000000000002</v>
      </c>
      <c r="J75" s="77">
        <v>0</v>
      </c>
      <c r="K75" s="77">
        <v>611.98</v>
      </c>
      <c r="L75" s="77">
        <v>0</v>
      </c>
      <c r="M75" s="77">
        <v>0</v>
      </c>
      <c r="N75" s="77">
        <v>0</v>
      </c>
      <c r="O75" s="77">
        <v>0</v>
      </c>
      <c r="P75" s="77">
        <v>0</v>
      </c>
      <c r="Q75" s="77">
        <v>0</v>
      </c>
      <c r="R75" s="77">
        <v>171.92</v>
      </c>
      <c r="S75" s="77">
        <v>0</v>
      </c>
    </row>
    <row r="76" spans="1:19" x14ac:dyDescent="0.35">
      <c r="A76" s="56" t="s">
        <v>926</v>
      </c>
      <c r="B76" s="55">
        <f t="shared" si="1"/>
        <v>0</v>
      </c>
      <c r="C76" s="77">
        <v>0</v>
      </c>
      <c r="D76" s="77">
        <v>0</v>
      </c>
      <c r="E76" s="77">
        <v>0</v>
      </c>
      <c r="F76" s="77">
        <v>0</v>
      </c>
      <c r="G76" s="77">
        <v>0</v>
      </c>
      <c r="H76" s="77">
        <v>0</v>
      </c>
      <c r="I76" s="77">
        <v>0</v>
      </c>
      <c r="J76" s="77">
        <v>0</v>
      </c>
      <c r="K76" s="77">
        <v>0</v>
      </c>
      <c r="L76" s="77">
        <v>0</v>
      </c>
      <c r="M76" s="77">
        <v>0</v>
      </c>
      <c r="N76" s="77">
        <v>0</v>
      </c>
      <c r="O76" s="77">
        <v>0</v>
      </c>
      <c r="P76" s="77">
        <v>0</v>
      </c>
      <c r="Q76" s="77">
        <v>0</v>
      </c>
      <c r="R76" s="77">
        <v>0</v>
      </c>
      <c r="S76" s="77">
        <v>0</v>
      </c>
    </row>
    <row r="77" spans="1:19" x14ac:dyDescent="0.35">
      <c r="A77" s="56" t="s">
        <v>927</v>
      </c>
      <c r="B77" s="55">
        <f t="shared" si="1"/>
        <v>362.63</v>
      </c>
      <c r="C77" s="77">
        <v>362.63</v>
      </c>
      <c r="D77" s="77">
        <v>0</v>
      </c>
      <c r="E77" s="77">
        <v>0</v>
      </c>
      <c r="F77" s="77">
        <v>0</v>
      </c>
      <c r="G77" s="77">
        <v>0</v>
      </c>
      <c r="H77" s="77">
        <v>0</v>
      </c>
      <c r="I77" s="77">
        <v>0</v>
      </c>
      <c r="J77" s="77">
        <v>0</v>
      </c>
      <c r="K77" s="77">
        <v>0</v>
      </c>
      <c r="L77" s="77">
        <v>0</v>
      </c>
      <c r="M77" s="77">
        <v>0</v>
      </c>
      <c r="N77" s="77">
        <v>0</v>
      </c>
      <c r="O77" s="77">
        <v>0</v>
      </c>
      <c r="P77" s="77">
        <v>0</v>
      </c>
      <c r="Q77" s="77">
        <v>0</v>
      </c>
      <c r="R77" s="77">
        <v>0</v>
      </c>
      <c r="S77" s="77">
        <v>0</v>
      </c>
    </row>
    <row r="78" spans="1:19" x14ac:dyDescent="0.35">
      <c r="A78" s="56" t="s">
        <v>928</v>
      </c>
      <c r="B78" s="55">
        <f t="shared" si="1"/>
        <v>4448.33</v>
      </c>
      <c r="C78" s="77">
        <v>0</v>
      </c>
      <c r="D78" s="77">
        <v>0</v>
      </c>
      <c r="E78" s="77">
        <v>0</v>
      </c>
      <c r="F78" s="77">
        <v>0</v>
      </c>
      <c r="G78" s="77">
        <v>0</v>
      </c>
      <c r="H78" s="77">
        <v>4448.33</v>
      </c>
      <c r="I78" s="77">
        <v>0</v>
      </c>
      <c r="J78" s="77">
        <v>0</v>
      </c>
      <c r="K78" s="77">
        <v>0</v>
      </c>
      <c r="L78" s="77">
        <v>0</v>
      </c>
      <c r="M78" s="77">
        <v>0</v>
      </c>
      <c r="N78" s="77">
        <v>0</v>
      </c>
      <c r="O78" s="77">
        <v>0</v>
      </c>
      <c r="P78" s="77">
        <v>0</v>
      </c>
      <c r="Q78" s="77">
        <v>0</v>
      </c>
      <c r="R78" s="77">
        <v>0</v>
      </c>
      <c r="S78" s="77">
        <v>0</v>
      </c>
    </row>
    <row r="79" spans="1:19" ht="43.5" x14ac:dyDescent="0.35">
      <c r="A79" s="56" t="s">
        <v>929</v>
      </c>
      <c r="B79" s="55">
        <f t="shared" si="1"/>
        <v>299976.59000000003</v>
      </c>
      <c r="C79" s="77">
        <v>0</v>
      </c>
      <c r="D79" s="77">
        <v>0</v>
      </c>
      <c r="E79" s="77">
        <v>0</v>
      </c>
      <c r="F79" s="77">
        <v>0</v>
      </c>
      <c r="G79" s="77">
        <v>0</v>
      </c>
      <c r="H79" s="77">
        <v>0</v>
      </c>
      <c r="I79" s="77">
        <v>0</v>
      </c>
      <c r="J79" s="77">
        <v>0</v>
      </c>
      <c r="K79" s="77">
        <v>0</v>
      </c>
      <c r="L79" s="77">
        <v>0</v>
      </c>
      <c r="M79" s="77">
        <v>270561.34000000003</v>
      </c>
      <c r="N79" s="77">
        <v>29415.25</v>
      </c>
      <c r="O79" s="77">
        <v>0</v>
      </c>
      <c r="P79" s="77">
        <v>0</v>
      </c>
      <c r="Q79" s="77">
        <v>0</v>
      </c>
      <c r="R79" s="77">
        <v>0</v>
      </c>
      <c r="S79" s="77">
        <v>0</v>
      </c>
    </row>
    <row r="80" spans="1:19" x14ac:dyDescent="0.35">
      <c r="A80" s="56" t="s">
        <v>930</v>
      </c>
      <c r="B80" s="55">
        <f t="shared" si="1"/>
        <v>230658.08999999994</v>
      </c>
      <c r="C80" s="77">
        <v>0</v>
      </c>
      <c r="D80" s="77">
        <v>0</v>
      </c>
      <c r="E80" s="77">
        <v>3477</v>
      </c>
      <c r="F80" s="77">
        <v>58168.349999999984</v>
      </c>
      <c r="G80" s="77">
        <v>0</v>
      </c>
      <c r="H80" s="77">
        <v>0</v>
      </c>
      <c r="I80" s="77">
        <v>0</v>
      </c>
      <c r="J80" s="77">
        <v>0</v>
      </c>
      <c r="K80" s="77">
        <v>619.80999999999995</v>
      </c>
      <c r="L80" s="77">
        <v>0</v>
      </c>
      <c r="M80" s="77">
        <v>0</v>
      </c>
      <c r="N80" s="77">
        <v>0</v>
      </c>
      <c r="O80" s="77">
        <v>0</v>
      </c>
      <c r="P80" s="77">
        <v>28966.430000000008</v>
      </c>
      <c r="Q80" s="77">
        <v>0</v>
      </c>
      <c r="R80" s="77">
        <v>0</v>
      </c>
      <c r="S80" s="77">
        <v>139426.49999999994</v>
      </c>
    </row>
    <row r="81" spans="1:19" x14ac:dyDescent="0.35">
      <c r="A81" s="56" t="s">
        <v>931</v>
      </c>
      <c r="B81" s="55">
        <f t="shared" si="1"/>
        <v>0</v>
      </c>
      <c r="C81" s="77">
        <v>0</v>
      </c>
      <c r="D81" s="77">
        <v>0</v>
      </c>
      <c r="E81" s="77">
        <v>0</v>
      </c>
      <c r="F81" s="77">
        <v>0</v>
      </c>
      <c r="G81" s="77">
        <v>0</v>
      </c>
      <c r="H81" s="77">
        <v>0</v>
      </c>
      <c r="I81" s="77">
        <v>0</v>
      </c>
      <c r="J81" s="77">
        <v>0</v>
      </c>
      <c r="K81" s="77">
        <v>0</v>
      </c>
      <c r="L81" s="77">
        <v>0</v>
      </c>
      <c r="M81" s="77">
        <v>0</v>
      </c>
      <c r="N81" s="77">
        <v>0</v>
      </c>
      <c r="O81" s="77">
        <v>0</v>
      </c>
      <c r="P81" s="77">
        <v>0</v>
      </c>
      <c r="Q81" s="77">
        <v>0</v>
      </c>
      <c r="R81" s="77">
        <v>0</v>
      </c>
      <c r="S81" s="77">
        <v>0</v>
      </c>
    </row>
    <row r="82" spans="1:19" x14ac:dyDescent="0.35">
      <c r="A82" s="56" t="s">
        <v>932</v>
      </c>
      <c r="B82" s="55">
        <f t="shared" si="1"/>
        <v>546.9</v>
      </c>
      <c r="C82" s="77">
        <v>0</v>
      </c>
      <c r="D82" s="77">
        <v>0</v>
      </c>
      <c r="E82" s="77">
        <v>0</v>
      </c>
      <c r="F82" s="77">
        <v>0</v>
      </c>
      <c r="G82" s="77">
        <v>0</v>
      </c>
      <c r="H82" s="77">
        <v>0</v>
      </c>
      <c r="I82" s="77">
        <v>0</v>
      </c>
      <c r="J82" s="77">
        <v>546.9</v>
      </c>
      <c r="K82" s="77">
        <v>0</v>
      </c>
      <c r="L82" s="77">
        <v>0</v>
      </c>
      <c r="M82" s="77">
        <v>0</v>
      </c>
      <c r="N82" s="77">
        <v>0</v>
      </c>
      <c r="O82" s="77">
        <v>0</v>
      </c>
      <c r="P82" s="77">
        <v>0</v>
      </c>
      <c r="Q82" s="77">
        <v>0</v>
      </c>
      <c r="R82" s="77">
        <v>0</v>
      </c>
      <c r="S82" s="77">
        <v>0</v>
      </c>
    </row>
    <row r="83" spans="1:19" x14ac:dyDescent="0.35">
      <c r="A83" s="56" t="s">
        <v>933</v>
      </c>
      <c r="B83" s="55">
        <f t="shared" si="1"/>
        <v>1537</v>
      </c>
      <c r="C83" s="77">
        <v>0</v>
      </c>
      <c r="D83" s="77">
        <v>0</v>
      </c>
      <c r="E83" s="77">
        <v>0</v>
      </c>
      <c r="F83" s="77">
        <v>0</v>
      </c>
      <c r="G83" s="77">
        <v>0</v>
      </c>
      <c r="H83" s="77">
        <v>0</v>
      </c>
      <c r="I83" s="77">
        <v>0</v>
      </c>
      <c r="J83" s="77">
        <v>0</v>
      </c>
      <c r="K83" s="77">
        <v>1537</v>
      </c>
      <c r="L83" s="77">
        <v>0</v>
      </c>
      <c r="M83" s="77">
        <v>0</v>
      </c>
      <c r="N83" s="77">
        <v>0</v>
      </c>
      <c r="O83" s="77">
        <v>0</v>
      </c>
      <c r="P83" s="77">
        <v>0</v>
      </c>
      <c r="Q83" s="77">
        <v>0</v>
      </c>
      <c r="R83" s="77">
        <v>0</v>
      </c>
      <c r="S83" s="77">
        <v>0</v>
      </c>
    </row>
    <row r="84" spans="1:19" x14ac:dyDescent="0.35">
      <c r="A84" s="56" t="s">
        <v>934</v>
      </c>
      <c r="B84" s="55">
        <f t="shared" si="1"/>
        <v>113294.26999999973</v>
      </c>
      <c r="C84" s="77">
        <v>0</v>
      </c>
      <c r="D84" s="77">
        <v>0</v>
      </c>
      <c r="E84" s="77">
        <v>0</v>
      </c>
      <c r="F84" s="77">
        <v>0</v>
      </c>
      <c r="G84" s="77">
        <v>0</v>
      </c>
      <c r="H84" s="77">
        <v>0</v>
      </c>
      <c r="I84" s="77">
        <v>0</v>
      </c>
      <c r="J84" s="77">
        <v>0</v>
      </c>
      <c r="K84" s="77">
        <v>0</v>
      </c>
      <c r="L84" s="77">
        <v>0</v>
      </c>
      <c r="M84" s="77">
        <v>0</v>
      </c>
      <c r="N84" s="77">
        <v>0</v>
      </c>
      <c r="O84" s="77">
        <v>0</v>
      </c>
      <c r="P84" s="77">
        <v>113294.26999999973</v>
      </c>
      <c r="Q84" s="77">
        <v>0</v>
      </c>
      <c r="R84" s="77">
        <v>0</v>
      </c>
      <c r="S84" s="77">
        <v>0</v>
      </c>
    </row>
    <row r="85" spans="1:19" x14ac:dyDescent="0.35">
      <c r="A85" s="56" t="s">
        <v>935</v>
      </c>
      <c r="B85" s="55">
        <f t="shared" si="1"/>
        <v>41351.519999999997</v>
      </c>
      <c r="C85" s="77">
        <v>0</v>
      </c>
      <c r="D85" s="77">
        <v>0</v>
      </c>
      <c r="E85" s="77">
        <v>0</v>
      </c>
      <c r="F85" s="77">
        <v>0</v>
      </c>
      <c r="G85" s="77">
        <v>0</v>
      </c>
      <c r="H85" s="77">
        <v>0</v>
      </c>
      <c r="I85" s="77">
        <v>0</v>
      </c>
      <c r="J85" s="77">
        <v>0</v>
      </c>
      <c r="K85" s="77">
        <v>0</v>
      </c>
      <c r="L85" s="77">
        <v>0</v>
      </c>
      <c r="M85" s="77">
        <v>0</v>
      </c>
      <c r="N85" s="77">
        <v>0</v>
      </c>
      <c r="O85" s="77">
        <v>0</v>
      </c>
      <c r="P85" s="77">
        <v>0</v>
      </c>
      <c r="Q85" s="77">
        <v>41351.519999999997</v>
      </c>
      <c r="R85" s="77">
        <v>0</v>
      </c>
      <c r="S85" s="77">
        <v>0</v>
      </c>
    </row>
    <row r="86" spans="1:19" x14ac:dyDescent="0.35">
      <c r="A86" s="56" t="s">
        <v>936</v>
      </c>
      <c r="B86" s="55">
        <f t="shared" si="1"/>
        <v>450</v>
      </c>
      <c r="C86" s="77">
        <v>0</v>
      </c>
      <c r="D86" s="77">
        <v>0</v>
      </c>
      <c r="E86" s="77">
        <v>0</v>
      </c>
      <c r="F86" s="77">
        <v>0</v>
      </c>
      <c r="G86" s="77">
        <v>0</v>
      </c>
      <c r="H86" s="77">
        <v>0</v>
      </c>
      <c r="I86" s="77">
        <v>0</v>
      </c>
      <c r="J86" s="77">
        <v>0</v>
      </c>
      <c r="K86" s="77">
        <v>0</v>
      </c>
      <c r="L86" s="77">
        <v>0</v>
      </c>
      <c r="M86" s="77">
        <v>0</v>
      </c>
      <c r="N86" s="77">
        <v>0</v>
      </c>
      <c r="O86" s="77">
        <v>0</v>
      </c>
      <c r="P86" s="77">
        <v>0</v>
      </c>
      <c r="Q86" s="77">
        <v>0</v>
      </c>
      <c r="R86" s="77">
        <v>0</v>
      </c>
      <c r="S86" s="77">
        <v>450</v>
      </c>
    </row>
  </sheetData>
  <pageMargins left="0.11811023622047245" right="0.11811023622047245" top="0.35433070866141736" bottom="0.35433070866141736" header="0.11811023622047245" footer="0.11811023622047245"/>
  <pageSetup paperSize="9" scale="58" orientation="landscape"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FAC8-CC6C-42E2-9B9B-4A116B11FA16}">
  <dimension ref="A1:H5"/>
  <sheetViews>
    <sheetView workbookViewId="0">
      <selection activeCell="B38" sqref="B38"/>
    </sheetView>
  </sheetViews>
  <sheetFormatPr defaultColWidth="8.81640625" defaultRowHeight="14.5" x14ac:dyDescent="0.35"/>
  <cols>
    <col min="1" max="1" width="30.81640625" style="167" bestFit="1" customWidth="1"/>
    <col min="2" max="2" width="8.81640625" style="170"/>
    <col min="3" max="3" width="34.1796875" style="171" bestFit="1" customWidth="1"/>
    <col min="4" max="6" width="12.81640625" style="167" customWidth="1"/>
    <col min="7" max="7" width="36.453125" style="167" customWidth="1"/>
    <col min="8" max="8" width="16.7265625" style="167" customWidth="1"/>
    <col min="9" max="16384" width="8.81640625" style="167"/>
  </cols>
  <sheetData>
    <row r="1" spans="1:8" ht="43.5" x14ac:dyDescent="0.35">
      <c r="A1" s="165" t="s">
        <v>937</v>
      </c>
      <c r="B1" s="165" t="s">
        <v>770</v>
      </c>
      <c r="C1" s="166" t="s">
        <v>938</v>
      </c>
      <c r="D1" s="165" t="s">
        <v>939</v>
      </c>
      <c r="E1" s="165" t="s">
        <v>940</v>
      </c>
      <c r="F1" s="165" t="s">
        <v>941</v>
      </c>
      <c r="G1" s="165" t="s">
        <v>942</v>
      </c>
      <c r="H1" s="202" t="s">
        <v>943</v>
      </c>
    </row>
    <row r="2" spans="1:8" ht="43.5" x14ac:dyDescent="0.35">
      <c r="A2" s="29" t="s">
        <v>944</v>
      </c>
      <c r="B2" s="168" t="s">
        <v>785</v>
      </c>
      <c r="C2" s="169" t="s">
        <v>945</v>
      </c>
      <c r="D2" s="164">
        <f>4140645+1261759</f>
        <v>5402404</v>
      </c>
      <c r="E2" s="164">
        <f>626967+167612</f>
        <v>794579</v>
      </c>
      <c r="F2" s="164">
        <f>D2-E2</f>
        <v>4607825</v>
      </c>
      <c r="G2" s="29" t="s">
        <v>946</v>
      </c>
      <c r="H2" s="164">
        <f>(D2/2)-E2</f>
        <v>1906623</v>
      </c>
    </row>
    <row r="3" spans="1:8" ht="29" x14ac:dyDescent="0.35">
      <c r="A3" s="29" t="s">
        <v>55</v>
      </c>
      <c r="B3" s="168" t="s">
        <v>791</v>
      </c>
      <c r="C3" s="169" t="s">
        <v>947</v>
      </c>
      <c r="D3" s="164">
        <v>1328214</v>
      </c>
      <c r="E3" s="164">
        <v>114226</v>
      </c>
      <c r="F3" s="164">
        <f t="shared" ref="F3:F5" si="0">D3-E3</f>
        <v>1213988</v>
      </c>
      <c r="G3" s="29" t="s">
        <v>948</v>
      </c>
      <c r="H3" s="203">
        <f>(D3/2)-E3</f>
        <v>549881</v>
      </c>
    </row>
    <row r="4" spans="1:8" ht="58" x14ac:dyDescent="0.35">
      <c r="A4" s="29" t="s">
        <v>56</v>
      </c>
      <c r="B4" s="168" t="s">
        <v>791</v>
      </c>
      <c r="C4" s="169" t="s">
        <v>947</v>
      </c>
      <c r="D4" s="164">
        <v>438415</v>
      </c>
      <c r="E4" s="164">
        <v>37704</v>
      </c>
      <c r="F4" s="164">
        <f t="shared" si="0"/>
        <v>400711</v>
      </c>
      <c r="G4" s="29" t="s">
        <v>949</v>
      </c>
      <c r="H4" s="203">
        <f>(D4/2)-E4</f>
        <v>181503.5</v>
      </c>
    </row>
    <row r="5" spans="1:8" ht="43.5" x14ac:dyDescent="0.35">
      <c r="A5" s="29" t="s">
        <v>57</v>
      </c>
      <c r="B5" s="168" t="s">
        <v>791</v>
      </c>
      <c r="C5" s="169" t="s">
        <v>950</v>
      </c>
      <c r="D5" s="164">
        <v>1033157</v>
      </c>
      <c r="E5" s="164">
        <v>88852</v>
      </c>
      <c r="F5" s="164">
        <f t="shared" si="0"/>
        <v>944305</v>
      </c>
      <c r="G5" s="29" t="s">
        <v>951</v>
      </c>
      <c r="H5" s="203">
        <f>(D5/2)-E5</f>
        <v>427726.5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6C47-97A7-4E0D-B56D-232B3309629B}">
  <sheetPr>
    <tabColor rgb="FF7030A0"/>
    <pageSetUpPr fitToPage="1"/>
  </sheetPr>
  <dimension ref="A1:L21"/>
  <sheetViews>
    <sheetView zoomScale="86" zoomScaleNormal="86" workbookViewId="0">
      <selection activeCell="B38" sqref="B38"/>
    </sheetView>
  </sheetViews>
  <sheetFormatPr defaultRowHeight="14.5" x14ac:dyDescent="0.35"/>
  <cols>
    <col min="1" max="1" width="71" customWidth="1"/>
    <col min="2" max="2" width="15.7265625" style="189" customWidth="1"/>
    <col min="3" max="3" width="16.54296875" customWidth="1"/>
    <col min="4" max="4" width="14.26953125" hidden="1" customWidth="1"/>
    <col min="5" max="5" width="2.1796875" customWidth="1"/>
    <col min="6" max="6" width="14.81640625" customWidth="1"/>
    <col min="7" max="7" width="14.453125" hidden="1" customWidth="1"/>
    <col min="8" max="8" width="2.1796875" customWidth="1"/>
    <col min="9" max="9" width="14.7265625" customWidth="1"/>
    <col min="10" max="10" width="14.1796875" hidden="1" customWidth="1"/>
    <col min="12" max="12" width="13.453125" bestFit="1" customWidth="1"/>
  </cols>
  <sheetData>
    <row r="1" spans="1:12" x14ac:dyDescent="0.35">
      <c r="B1" s="173"/>
    </row>
    <row r="2" spans="1:12" x14ac:dyDescent="0.35">
      <c r="A2" s="33"/>
      <c r="B2" s="174" t="s">
        <v>952</v>
      </c>
      <c r="C2" s="175" t="s">
        <v>953</v>
      </c>
      <c r="D2" s="176" t="s">
        <v>953</v>
      </c>
      <c r="E2" s="176"/>
      <c r="F2" s="177" t="s">
        <v>954</v>
      </c>
      <c r="G2" s="177" t="s">
        <v>954</v>
      </c>
      <c r="H2" s="177"/>
      <c r="I2" s="177" t="s">
        <v>955</v>
      </c>
      <c r="J2" s="177" t="s">
        <v>955</v>
      </c>
    </row>
    <row r="3" spans="1:12" x14ac:dyDescent="0.35">
      <c r="A3" s="178" t="s">
        <v>956</v>
      </c>
      <c r="B3" s="179">
        <f>B6*100/78</f>
        <v>2735.8879294871795</v>
      </c>
      <c r="C3" s="179">
        <f>C6*100/78</f>
        <v>2892.0000000000005</v>
      </c>
      <c r="D3" s="179">
        <f>C3</f>
        <v>2892.0000000000005</v>
      </c>
      <c r="E3" s="179"/>
      <c r="F3" s="180">
        <f>F6*100/78</f>
        <v>3019.0000000000005</v>
      </c>
      <c r="G3" s="180">
        <f>G6*100/78</f>
        <v>3019.0000000000005</v>
      </c>
      <c r="H3" s="180"/>
      <c r="I3" s="180">
        <f>I6*100/78</f>
        <v>3184</v>
      </c>
      <c r="J3" s="181">
        <f t="shared" ref="J3" si="0">J6*100/78</f>
        <v>3184</v>
      </c>
    </row>
    <row r="4" spans="1:12" x14ac:dyDescent="0.35">
      <c r="A4" s="33" t="s">
        <v>957</v>
      </c>
      <c r="B4" s="179"/>
      <c r="C4" s="182">
        <v>2218.7048289999998</v>
      </c>
      <c r="D4" s="182">
        <v>2354.8200000000002</v>
      </c>
      <c r="E4" s="182"/>
      <c r="F4" s="182">
        <v>2318.1743500000002</v>
      </c>
      <c r="G4" s="182">
        <v>2483.52</v>
      </c>
      <c r="H4" s="182"/>
      <c r="I4" s="182">
        <v>2448.3602500000002</v>
      </c>
    </row>
    <row r="5" spans="1:12" x14ac:dyDescent="0.35">
      <c r="A5" s="183" t="s">
        <v>958</v>
      </c>
      <c r="B5" s="184"/>
      <c r="C5" s="185"/>
      <c r="D5" s="186"/>
      <c r="E5" s="186"/>
      <c r="F5" s="187"/>
      <c r="G5" s="187"/>
      <c r="H5" s="187"/>
      <c r="I5" s="187"/>
      <c r="J5" s="187"/>
    </row>
    <row r="6" spans="1:12" x14ac:dyDescent="0.35">
      <c r="A6" s="185" t="s">
        <v>959</v>
      </c>
      <c r="B6" s="187">
        <v>2133.992585</v>
      </c>
      <c r="C6" s="187">
        <v>2255.7600000000002</v>
      </c>
      <c r="D6" s="188">
        <f>C6</f>
        <v>2255.7600000000002</v>
      </c>
      <c r="E6" s="188"/>
      <c r="F6" s="187">
        <v>2354.8200000000002</v>
      </c>
      <c r="G6" s="187">
        <v>2354.8200000000002</v>
      </c>
      <c r="H6" s="187"/>
      <c r="I6" s="187">
        <v>2483.52</v>
      </c>
      <c r="J6" s="187">
        <v>2483.52</v>
      </c>
      <c r="K6" s="189"/>
      <c r="L6" s="189"/>
    </row>
    <row r="7" spans="1:12" x14ac:dyDescent="0.35">
      <c r="A7" s="185" t="s">
        <v>960</v>
      </c>
      <c r="B7" s="187"/>
      <c r="C7" s="187">
        <f>C6-C4</f>
        <v>37.055171000000428</v>
      </c>
      <c r="D7" s="187">
        <f t="shared" ref="D7:I7" si="1">D6-D4</f>
        <v>-99.059999999999945</v>
      </c>
      <c r="E7" s="187"/>
      <c r="F7" s="187">
        <f>F6-F4</f>
        <v>36.645649999999932</v>
      </c>
      <c r="G7" s="187">
        <f t="shared" si="1"/>
        <v>-128.69999999999982</v>
      </c>
      <c r="H7" s="187"/>
      <c r="I7" s="187">
        <f t="shared" si="1"/>
        <v>35.159749999999804</v>
      </c>
      <c r="J7" s="187"/>
      <c r="K7" s="189"/>
      <c r="L7" s="189"/>
    </row>
    <row r="8" spans="1:12" x14ac:dyDescent="0.35">
      <c r="A8" s="185" t="s">
        <v>961</v>
      </c>
      <c r="B8" s="187">
        <v>67.509362119999906</v>
      </c>
      <c r="C8" s="187">
        <v>125.48944888</v>
      </c>
      <c r="D8" s="188">
        <f>C8</f>
        <v>125.48944888</v>
      </c>
      <c r="E8" s="188"/>
      <c r="F8" s="187">
        <v>147.08094808000001</v>
      </c>
      <c r="G8" s="187">
        <v>147.08094808000001</v>
      </c>
      <c r="H8" s="187"/>
      <c r="I8" s="187">
        <v>144.39504808000001</v>
      </c>
      <c r="J8" s="187">
        <v>144.39504808000001</v>
      </c>
      <c r="K8" s="189"/>
      <c r="L8" s="189"/>
    </row>
    <row r="9" spans="1:12" x14ac:dyDescent="0.35">
      <c r="A9" s="190" t="s">
        <v>962</v>
      </c>
      <c r="B9" s="191"/>
      <c r="C9" s="192">
        <f>C8-C7</f>
        <v>88.43427787999957</v>
      </c>
      <c r="D9" s="192">
        <f t="shared" ref="D9:I9" si="2">D8-D7</f>
        <v>224.54944887999994</v>
      </c>
      <c r="E9" s="192"/>
      <c r="F9" s="192">
        <f t="shared" si="2"/>
        <v>110.43529808000008</v>
      </c>
      <c r="G9" s="192">
        <f t="shared" si="2"/>
        <v>275.7809480799998</v>
      </c>
      <c r="H9" s="192"/>
      <c r="I9" s="192">
        <f t="shared" si="2"/>
        <v>109.23529808000021</v>
      </c>
      <c r="J9" s="182"/>
    </row>
    <row r="10" spans="1:12" x14ac:dyDescent="0.35">
      <c r="B10" s="193"/>
      <c r="C10" s="189"/>
      <c r="D10" s="194"/>
      <c r="E10" s="194"/>
    </row>
    <row r="11" spans="1:12" x14ac:dyDescent="0.35">
      <c r="C11" s="189"/>
      <c r="D11" s="189"/>
      <c r="E11" s="189"/>
      <c r="F11" s="189"/>
      <c r="G11" s="189"/>
      <c r="H11" s="189"/>
      <c r="I11" s="189"/>
    </row>
    <row r="12" spans="1:12" x14ac:dyDescent="0.35">
      <c r="C12" s="189"/>
      <c r="D12" s="189"/>
      <c r="E12" s="189"/>
      <c r="F12" s="189"/>
      <c r="G12" s="189"/>
      <c r="H12" s="189"/>
      <c r="I12" s="189"/>
    </row>
    <row r="13" spans="1:12" x14ac:dyDescent="0.35">
      <c r="D13" s="195"/>
      <c r="E13" s="195"/>
    </row>
    <row r="14" spans="1:12" x14ac:dyDescent="0.35">
      <c r="C14" s="189"/>
    </row>
    <row r="15" spans="1:12" x14ac:dyDescent="0.35">
      <c r="J15" s="196"/>
    </row>
    <row r="21" spans="1:1" x14ac:dyDescent="0.35">
      <c r="A21" s="197"/>
    </row>
  </sheetData>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F58E-DB4A-4686-AECB-08AA74DBA3B0}">
  <sheetPr>
    <pageSetUpPr fitToPage="1"/>
  </sheetPr>
  <dimension ref="A1:AB149"/>
  <sheetViews>
    <sheetView showGridLines="0" topLeftCell="A88" zoomScale="80" zoomScaleNormal="80" workbookViewId="0">
      <selection activeCell="B104" sqref="B104:B105"/>
    </sheetView>
  </sheetViews>
  <sheetFormatPr defaultRowHeight="14.5" x14ac:dyDescent="0.35"/>
  <cols>
    <col min="1" max="1" width="35.81640625" customWidth="1"/>
    <col min="2" max="2" width="19.54296875" customWidth="1"/>
    <col min="3" max="6" width="16.1796875" customWidth="1"/>
    <col min="7" max="7" width="13.7265625" customWidth="1"/>
    <col min="8" max="8" width="23.54296875" bestFit="1" customWidth="1"/>
    <col min="9" max="10" width="10.81640625" hidden="1" customWidth="1"/>
    <col min="11" max="11" width="10.453125" hidden="1" customWidth="1"/>
    <col min="12" max="12" width="0" hidden="1" customWidth="1"/>
    <col min="25" max="25" width="11.26953125" customWidth="1"/>
  </cols>
  <sheetData>
    <row r="1" spans="1:8" ht="38.5" customHeight="1" x14ac:dyDescent="0.35">
      <c r="A1" s="445" t="s">
        <v>8</v>
      </c>
      <c r="B1" s="445"/>
      <c r="C1" s="445"/>
      <c r="D1" s="445"/>
      <c r="E1" s="445"/>
      <c r="F1" s="445"/>
      <c r="G1" s="445"/>
    </row>
    <row r="2" spans="1:8" ht="35.5" customHeight="1" x14ac:dyDescent="0.35">
      <c r="A2" s="424" t="s">
        <v>9</v>
      </c>
      <c r="B2" s="419" t="s">
        <v>10</v>
      </c>
      <c r="C2" s="446" t="s">
        <v>11</v>
      </c>
      <c r="D2" s="447"/>
      <c r="E2" s="447"/>
      <c r="F2" s="448"/>
      <c r="G2" s="449" t="s">
        <v>12</v>
      </c>
      <c r="H2" s="443" t="s">
        <v>13</v>
      </c>
    </row>
    <row r="3" spans="1:8" x14ac:dyDescent="0.35">
      <c r="A3" s="425"/>
      <c r="B3" s="420"/>
      <c r="C3" s="16">
        <v>2026</v>
      </c>
      <c r="D3" s="16">
        <v>2027</v>
      </c>
      <c r="E3" s="16">
        <v>2028</v>
      </c>
      <c r="F3" s="16">
        <v>2029</v>
      </c>
      <c r="G3" s="450"/>
      <c r="H3" s="444"/>
    </row>
    <row r="4" spans="1:8" hidden="1" x14ac:dyDescent="0.35">
      <c r="A4" s="11" t="s">
        <v>14</v>
      </c>
      <c r="B4" s="12">
        <f>[1]Dati!I3</f>
        <v>0</v>
      </c>
      <c r="C4" s="13">
        <f>B4/$B$50</f>
        <v>0</v>
      </c>
      <c r="D4" s="13"/>
      <c r="E4" s="13"/>
      <c r="F4" s="13"/>
      <c r="G4" s="13">
        <f>C4/$B$50</f>
        <v>0</v>
      </c>
      <c r="H4" s="33"/>
    </row>
    <row r="5" spans="1:8" hidden="1" x14ac:dyDescent="0.35">
      <c r="A5" s="11" t="s">
        <v>15</v>
      </c>
      <c r="B5" s="12">
        <f>[1]Dati!I4+[1]Dati!I5</f>
        <v>0</v>
      </c>
      <c r="C5" s="13">
        <f t="shared" ref="C5" si="0">B5/$B$50</f>
        <v>0</v>
      </c>
      <c r="D5" s="13"/>
      <c r="E5" s="13"/>
      <c r="F5" s="13"/>
      <c r="G5" s="13">
        <f>C5/$B$50</f>
        <v>0</v>
      </c>
      <c r="H5" s="33"/>
    </row>
    <row r="6" spans="1:8" x14ac:dyDescent="0.35">
      <c r="A6" s="14" t="s">
        <v>16</v>
      </c>
      <c r="B6" s="12">
        <v>1271839.0672337033</v>
      </c>
      <c r="C6" s="17">
        <f>'7.pielikums'!F12</f>
        <v>1271839</v>
      </c>
      <c r="D6" s="17">
        <f>'7.pielikums'!G12</f>
        <v>1271839</v>
      </c>
      <c r="E6" s="17">
        <f>'7.pielikums'!H12</f>
        <v>1271839</v>
      </c>
      <c r="F6" s="17">
        <f>'7.pielikums'!I12</f>
        <v>1271839</v>
      </c>
      <c r="G6" s="18">
        <f>B6-C6</f>
        <v>6.7233703332021832E-2</v>
      </c>
      <c r="H6" s="33">
        <v>4</v>
      </c>
    </row>
    <row r="7" spans="1:8" ht="29" x14ac:dyDescent="0.35">
      <c r="A7" s="14" t="s">
        <v>17</v>
      </c>
      <c r="B7" s="12">
        <v>1491518.2369331915</v>
      </c>
      <c r="C7" s="17">
        <f>'7.pielikums'!F26</f>
        <v>516700</v>
      </c>
      <c r="D7" s="17">
        <f>'7.pielikums'!G26</f>
        <v>516700</v>
      </c>
      <c r="E7" s="17">
        <f>'7.pielikums'!H26</f>
        <v>516700</v>
      </c>
      <c r="F7" s="17">
        <f>'7.pielikums'!I26</f>
        <v>516700</v>
      </c>
      <c r="G7" s="18">
        <f t="shared" ref="G7:G37" si="1">B7-C7</f>
        <v>974818.23693319154</v>
      </c>
      <c r="H7" s="33"/>
    </row>
    <row r="8" spans="1:8" hidden="1" x14ac:dyDescent="0.35">
      <c r="A8" s="14" t="s">
        <v>18</v>
      </c>
      <c r="B8" s="12">
        <v>0</v>
      </c>
      <c r="C8" s="17"/>
      <c r="D8" s="17"/>
      <c r="E8" s="17"/>
      <c r="F8" s="17"/>
      <c r="G8" s="18">
        <f t="shared" si="1"/>
        <v>0</v>
      </c>
      <c r="H8" s="33"/>
    </row>
    <row r="9" spans="1:8" x14ac:dyDescent="0.35">
      <c r="A9" s="14" t="s">
        <v>19</v>
      </c>
      <c r="B9" s="12">
        <v>447794.85017662996</v>
      </c>
      <c r="C9" s="17">
        <f>'7.pielikums'!F29</f>
        <v>223898</v>
      </c>
      <c r="D9" s="17">
        <f>'7.pielikums'!G29</f>
        <v>223898</v>
      </c>
      <c r="E9" s="17">
        <f>'7.pielikums'!H29</f>
        <v>223898</v>
      </c>
      <c r="F9" s="17">
        <f>'7.pielikums'!I29</f>
        <v>223898</v>
      </c>
      <c r="G9" s="18">
        <f>B9-C9</f>
        <v>223896.85017662996</v>
      </c>
      <c r="H9" s="33"/>
    </row>
    <row r="10" spans="1:8" ht="29" hidden="1" x14ac:dyDescent="0.35">
      <c r="A10" s="14" t="s">
        <v>20</v>
      </c>
      <c r="B10" s="12">
        <v>0</v>
      </c>
      <c r="C10" s="17"/>
      <c r="D10" s="17"/>
      <c r="E10" s="17"/>
      <c r="F10" s="17"/>
      <c r="G10" s="18">
        <f t="shared" si="1"/>
        <v>0</v>
      </c>
      <c r="H10" s="33"/>
    </row>
    <row r="11" spans="1:8" x14ac:dyDescent="0.35">
      <c r="A11" s="14" t="s">
        <v>21</v>
      </c>
      <c r="B11" s="12">
        <v>439198.53702815337</v>
      </c>
      <c r="C11" s="17">
        <f>'7.pielikums'!F35</f>
        <v>439199</v>
      </c>
      <c r="D11" s="17">
        <f>'7.pielikums'!G35</f>
        <v>439199</v>
      </c>
      <c r="E11" s="17">
        <f>'7.pielikums'!H35</f>
        <v>439199</v>
      </c>
      <c r="F11" s="17">
        <f>'7.pielikums'!I35</f>
        <v>439199</v>
      </c>
      <c r="G11" s="18">
        <f t="shared" si="1"/>
        <v>-0.46297184663126245</v>
      </c>
      <c r="H11" s="33"/>
    </row>
    <row r="12" spans="1:8" x14ac:dyDescent="0.35">
      <c r="A12" s="14" t="s">
        <v>22</v>
      </c>
      <c r="B12" s="12">
        <v>3836046.7504088115</v>
      </c>
      <c r="C12" s="17">
        <f>'7.pielikums'!F45</f>
        <v>3836047</v>
      </c>
      <c r="D12" s="17">
        <f>'7.pielikums'!G45</f>
        <v>3836047</v>
      </c>
      <c r="E12" s="17">
        <f>'7.pielikums'!H45</f>
        <v>3836047</v>
      </c>
      <c r="F12" s="17">
        <f>'7.pielikums'!I45</f>
        <v>3529804</v>
      </c>
      <c r="G12" s="18">
        <f t="shared" si="1"/>
        <v>-0.24959118850529194</v>
      </c>
      <c r="H12" s="33"/>
    </row>
    <row r="13" spans="1:8" x14ac:dyDescent="0.35">
      <c r="A13" s="14" t="s">
        <v>23</v>
      </c>
      <c r="B13" s="12">
        <v>9552158.2816634588</v>
      </c>
      <c r="C13" s="17">
        <f>'7.pielikums'!F58</f>
        <v>9552158</v>
      </c>
      <c r="D13" s="17">
        <f>'7.pielikums'!G58</f>
        <v>9552158</v>
      </c>
      <c r="E13" s="17">
        <f>'7.pielikums'!H58</f>
        <v>9552158</v>
      </c>
      <c r="F13" s="17">
        <f>'7.pielikums'!I58</f>
        <v>9552158</v>
      </c>
      <c r="G13" s="18">
        <f t="shared" si="1"/>
        <v>0.28166345879435539</v>
      </c>
      <c r="H13" s="33">
        <v>40</v>
      </c>
    </row>
    <row r="14" spans="1:8" x14ac:dyDescent="0.35">
      <c r="A14" s="14" t="s">
        <v>24</v>
      </c>
      <c r="B14" s="12">
        <v>17108349.689786598</v>
      </c>
      <c r="C14" s="17">
        <f>'7.pielikums'!F75</f>
        <v>17108350</v>
      </c>
      <c r="D14" s="17">
        <f>'7.pielikums'!G75</f>
        <v>17108350</v>
      </c>
      <c r="E14" s="17">
        <f>'7.pielikums'!H75</f>
        <v>17108350</v>
      </c>
      <c r="F14" s="17">
        <f>'7.pielikums'!I75</f>
        <v>17108350</v>
      </c>
      <c r="G14" s="18">
        <f t="shared" si="1"/>
        <v>-0.31021340191364288</v>
      </c>
      <c r="H14" s="33">
        <v>497</v>
      </c>
    </row>
    <row r="15" spans="1:8" x14ac:dyDescent="0.35">
      <c r="A15" s="14" t="s">
        <v>25</v>
      </c>
      <c r="B15" s="12">
        <v>521275.33362444176</v>
      </c>
      <c r="C15" s="17">
        <f>'7.pielikums'!F129</f>
        <v>521275</v>
      </c>
      <c r="D15" s="17">
        <f>'7.pielikums'!G129</f>
        <v>521275</v>
      </c>
      <c r="E15" s="17">
        <f>'7.pielikums'!H129</f>
        <v>521275</v>
      </c>
      <c r="F15" s="17">
        <f>'7.pielikums'!I129</f>
        <v>521275</v>
      </c>
      <c r="G15" s="18">
        <f t="shared" si="1"/>
        <v>0.33362444175872952</v>
      </c>
      <c r="H15" s="33"/>
    </row>
    <row r="16" spans="1:8" x14ac:dyDescent="0.35">
      <c r="A16" s="14" t="s">
        <v>26</v>
      </c>
      <c r="B16" s="12">
        <v>22389504.795674726</v>
      </c>
      <c r="C16" s="17">
        <f>'7.pielikums'!F140</f>
        <v>817384</v>
      </c>
      <c r="D16" s="17">
        <f>'7.pielikums'!G140</f>
        <v>905188</v>
      </c>
      <c r="E16" s="17">
        <f>'7.pielikums'!H140</f>
        <v>905188</v>
      </c>
      <c r="F16" s="17">
        <f>'7.pielikums'!I140</f>
        <v>905188</v>
      </c>
      <c r="G16" s="18">
        <f t="shared" si="1"/>
        <v>21572120.795674726</v>
      </c>
      <c r="H16" s="33"/>
    </row>
    <row r="17" spans="1:8" x14ac:dyDescent="0.35">
      <c r="A17" s="14" t="s">
        <v>27</v>
      </c>
      <c r="B17" s="12">
        <v>7480373.0263613481</v>
      </c>
      <c r="C17" s="17">
        <f>'7.pielikums'!F150</f>
        <v>7480372.5379999997</v>
      </c>
      <c r="D17" s="17">
        <f>'7.pielikums'!G150</f>
        <v>7480372.5379999997</v>
      </c>
      <c r="E17" s="17">
        <f>'7.pielikums'!H150</f>
        <v>7480372.5379999997</v>
      </c>
      <c r="F17" s="17">
        <f>'7.pielikums'!I150</f>
        <v>7480372.5379999997</v>
      </c>
      <c r="G17" s="18">
        <f t="shared" si="1"/>
        <v>0.4883613483980298</v>
      </c>
      <c r="H17" s="33">
        <v>37</v>
      </c>
    </row>
    <row r="18" spans="1:8" x14ac:dyDescent="0.35">
      <c r="A18" s="14" t="s">
        <v>28</v>
      </c>
      <c r="B18" s="12">
        <v>23220237.849936884</v>
      </c>
      <c r="C18" s="17">
        <f>'7.pielikums'!F190</f>
        <v>3900000</v>
      </c>
      <c r="D18" s="17">
        <f>'7.pielikums'!G190</f>
        <v>3904536</v>
      </c>
      <c r="E18" s="17">
        <f>'7.pielikums'!H190</f>
        <v>3909234</v>
      </c>
      <c r="F18" s="17">
        <f>'7.pielikums'!I190</f>
        <v>3914098</v>
      </c>
      <c r="G18" s="18">
        <f>B18-C18</f>
        <v>19320237.849936884</v>
      </c>
      <c r="H18" s="33"/>
    </row>
    <row r="19" spans="1:8" x14ac:dyDescent="0.35">
      <c r="A19" s="14" t="s">
        <v>29</v>
      </c>
      <c r="B19" s="12">
        <v>2192794.3906385093</v>
      </c>
      <c r="C19" s="17">
        <f>'7.pielikums'!F201</f>
        <v>2027999</v>
      </c>
      <c r="D19" s="17">
        <f>'7.pielikums'!G201</f>
        <v>538483</v>
      </c>
      <c r="E19" s="17">
        <f>'7.pielikums'!H201</f>
        <v>538483</v>
      </c>
      <c r="F19" s="17">
        <f>'7.pielikums'!I201</f>
        <v>538483</v>
      </c>
      <c r="G19" s="18">
        <f t="shared" si="1"/>
        <v>164795.3906385093</v>
      </c>
      <c r="H19" s="33"/>
    </row>
    <row r="20" spans="1:8" x14ac:dyDescent="0.35">
      <c r="A20" s="14" t="s">
        <v>30</v>
      </c>
      <c r="B20" s="12">
        <v>15947438.099421423</v>
      </c>
      <c r="C20" s="17">
        <f>'7.pielikums'!F215</f>
        <v>27413480</v>
      </c>
      <c r="D20" s="17">
        <f>'7.pielikums'!G215</f>
        <v>6735433</v>
      </c>
      <c r="E20" s="17">
        <f>'7.pielikums'!H215</f>
        <v>6735433</v>
      </c>
      <c r="F20" s="17">
        <f>'7.pielikums'!I215</f>
        <v>6735433</v>
      </c>
      <c r="G20" s="18">
        <f t="shared" si="1"/>
        <v>-11466041.900578577</v>
      </c>
      <c r="H20" s="33">
        <v>4</v>
      </c>
    </row>
    <row r="21" spans="1:8" x14ac:dyDescent="0.35">
      <c r="A21" s="14" t="s">
        <v>31</v>
      </c>
      <c r="B21" s="12">
        <v>2492977.3104489706</v>
      </c>
      <c r="C21" s="17">
        <f>'7.pielikums'!F230</f>
        <v>2492977</v>
      </c>
      <c r="D21" s="17">
        <f>'7.pielikums'!G230</f>
        <v>2492977</v>
      </c>
      <c r="E21" s="17">
        <f>'7.pielikums'!H230</f>
        <v>2492977</v>
      </c>
      <c r="F21" s="17">
        <f>'7.pielikums'!I230</f>
        <v>2492977</v>
      </c>
      <c r="G21" s="18">
        <f t="shared" si="1"/>
        <v>0.31044897064566612</v>
      </c>
      <c r="H21" s="33"/>
    </row>
    <row r="22" spans="1:8" ht="29" x14ac:dyDescent="0.35">
      <c r="A22" s="14" t="s">
        <v>32</v>
      </c>
      <c r="B22" s="12">
        <v>3535290.6508669835</v>
      </c>
      <c r="C22" s="17">
        <f>'7.pielikums'!F233</f>
        <v>3535291</v>
      </c>
      <c r="D22" s="17">
        <f>'7.pielikums'!G233</f>
        <v>3535291</v>
      </c>
      <c r="E22" s="17">
        <f>'7.pielikums'!H233</f>
        <v>3535291</v>
      </c>
      <c r="F22" s="17">
        <f>'7.pielikums'!I233</f>
        <v>3535291</v>
      </c>
      <c r="G22" s="18">
        <f t="shared" si="1"/>
        <v>-0.34913301654160023</v>
      </c>
      <c r="H22" s="33"/>
    </row>
    <row r="23" spans="1:8" x14ac:dyDescent="0.35">
      <c r="A23" s="14" t="s">
        <v>33</v>
      </c>
      <c r="B23" s="12">
        <v>13618408.168829827</v>
      </c>
      <c r="C23" s="17">
        <f>'7.pielikums'!F277</f>
        <v>3014171</v>
      </c>
      <c r="D23" s="17">
        <f>'7.pielikums'!G277</f>
        <v>4187735</v>
      </c>
      <c r="E23" s="17">
        <f>'7.pielikums'!H277</f>
        <v>4496723</v>
      </c>
      <c r="F23" s="17">
        <f>'7.pielikums'!I277</f>
        <v>4670723</v>
      </c>
      <c r="G23" s="18">
        <f>B23-C23</f>
        <v>10604237.168829827</v>
      </c>
      <c r="H23" s="33"/>
    </row>
    <row r="24" spans="1:8" hidden="1" x14ac:dyDescent="0.35">
      <c r="A24" s="14" t="s">
        <v>34</v>
      </c>
      <c r="B24" s="12">
        <v>0</v>
      </c>
      <c r="C24" s="17"/>
      <c r="D24" s="17"/>
      <c r="E24" s="17"/>
      <c r="F24" s="17"/>
      <c r="G24" s="18">
        <f t="shared" si="1"/>
        <v>0</v>
      </c>
      <c r="H24" s="33"/>
    </row>
    <row r="25" spans="1:8" hidden="1" x14ac:dyDescent="0.35">
      <c r="A25" s="14" t="s">
        <v>35</v>
      </c>
      <c r="B25" s="12">
        <v>0</v>
      </c>
      <c r="C25" s="17"/>
      <c r="D25" s="17"/>
      <c r="E25" s="17"/>
      <c r="F25" s="17"/>
      <c r="G25" s="18">
        <f t="shared" si="1"/>
        <v>0</v>
      </c>
      <c r="H25" s="33"/>
    </row>
    <row r="26" spans="1:8" x14ac:dyDescent="0.35">
      <c r="A26" s="14" t="s">
        <v>36</v>
      </c>
      <c r="B26" s="12">
        <v>4596501.2292122385</v>
      </c>
      <c r="C26" s="17">
        <f>'7.pielikums'!F286</f>
        <v>4596501</v>
      </c>
      <c r="D26" s="17">
        <f>'7.pielikums'!G286</f>
        <v>4596501</v>
      </c>
      <c r="E26" s="17">
        <f>'7.pielikums'!H286</f>
        <v>4596501</v>
      </c>
      <c r="F26" s="17">
        <f>'7.pielikums'!I286</f>
        <v>4596501</v>
      </c>
      <c r="G26" s="18">
        <f t="shared" si="1"/>
        <v>0.22921223845332861</v>
      </c>
      <c r="H26" s="33"/>
    </row>
    <row r="27" spans="1:8" hidden="1" x14ac:dyDescent="0.35">
      <c r="A27" s="14" t="s">
        <v>37</v>
      </c>
      <c r="B27" s="12">
        <v>0</v>
      </c>
      <c r="C27" s="17"/>
      <c r="D27" s="17"/>
      <c r="E27" s="17"/>
      <c r="F27" s="17"/>
      <c r="G27" s="18">
        <f t="shared" si="1"/>
        <v>0</v>
      </c>
      <c r="H27" s="33"/>
    </row>
    <row r="28" spans="1:8" hidden="1" x14ac:dyDescent="0.35">
      <c r="A28" s="14" t="s">
        <v>38</v>
      </c>
      <c r="B28" s="12">
        <v>0</v>
      </c>
      <c r="C28" s="17"/>
      <c r="D28" s="17"/>
      <c r="E28" s="17"/>
      <c r="F28" s="17"/>
      <c r="G28" s="18">
        <f t="shared" si="1"/>
        <v>0</v>
      </c>
      <c r="H28" s="33"/>
    </row>
    <row r="29" spans="1:8" hidden="1" x14ac:dyDescent="0.35">
      <c r="A29" s="14" t="s">
        <v>39</v>
      </c>
      <c r="B29" s="12">
        <v>0</v>
      </c>
      <c r="C29" s="17"/>
      <c r="D29" s="17"/>
      <c r="E29" s="17"/>
      <c r="F29" s="17"/>
      <c r="G29" s="18">
        <f t="shared" si="1"/>
        <v>0</v>
      </c>
      <c r="H29" s="33"/>
    </row>
    <row r="30" spans="1:8" ht="29" hidden="1" x14ac:dyDescent="0.35">
      <c r="A30" s="14" t="s">
        <v>40</v>
      </c>
      <c r="B30" s="12">
        <v>0</v>
      </c>
      <c r="C30" s="17"/>
      <c r="D30" s="17"/>
      <c r="E30" s="17"/>
      <c r="F30" s="17"/>
      <c r="G30" s="18">
        <f t="shared" si="1"/>
        <v>0</v>
      </c>
      <c r="H30" s="33"/>
    </row>
    <row r="31" spans="1:8" hidden="1" x14ac:dyDescent="0.35">
      <c r="A31" s="14" t="s">
        <v>41</v>
      </c>
      <c r="B31" s="12">
        <v>0</v>
      </c>
      <c r="C31" s="17"/>
      <c r="D31" s="17"/>
      <c r="E31" s="17"/>
      <c r="F31" s="17"/>
      <c r="G31" s="18">
        <f t="shared" si="1"/>
        <v>0</v>
      </c>
      <c r="H31" s="33"/>
    </row>
    <row r="32" spans="1:8" hidden="1" x14ac:dyDescent="0.35">
      <c r="A32" s="14" t="s">
        <v>42</v>
      </c>
      <c r="B32" s="12">
        <v>0</v>
      </c>
      <c r="C32" s="17"/>
      <c r="D32" s="17"/>
      <c r="E32" s="17"/>
      <c r="F32" s="17"/>
      <c r="G32" s="18">
        <f t="shared" si="1"/>
        <v>0</v>
      </c>
      <c r="H32" s="33"/>
    </row>
    <row r="33" spans="1:9" hidden="1" x14ac:dyDescent="0.35">
      <c r="A33" s="14" t="s">
        <v>43</v>
      </c>
      <c r="B33" s="12">
        <v>0</v>
      </c>
      <c r="C33" s="17"/>
      <c r="D33" s="17"/>
      <c r="E33" s="17"/>
      <c r="F33" s="17"/>
      <c r="G33" s="18">
        <f t="shared" si="1"/>
        <v>0</v>
      </c>
      <c r="H33" s="33"/>
    </row>
    <row r="34" spans="1:9" ht="29" x14ac:dyDescent="0.35">
      <c r="A34" s="14" t="s">
        <v>44</v>
      </c>
      <c r="B34" s="12">
        <v>7642495.0595327485</v>
      </c>
      <c r="C34" s="17">
        <f>'7.pielikums'!F314</f>
        <v>9549118</v>
      </c>
      <c r="D34" s="17">
        <f>'7.pielikums'!G314</f>
        <v>9549118</v>
      </c>
      <c r="E34" s="17">
        <f>'7.pielikums'!H314</f>
        <v>10549118</v>
      </c>
      <c r="F34" s="17">
        <f>'7.pielikums'!I314</f>
        <v>10549118</v>
      </c>
      <c r="G34" s="18">
        <f t="shared" si="1"/>
        <v>-1906622.9404672515</v>
      </c>
      <c r="H34" s="33"/>
      <c r="I34" s="35"/>
    </row>
    <row r="35" spans="1:9" x14ac:dyDescent="0.35">
      <c r="A35" s="14" t="s">
        <v>45</v>
      </c>
      <c r="B35" s="12">
        <v>2215798.6722213565</v>
      </c>
      <c r="C35" s="17">
        <f>'7.pielikums'!F213</f>
        <v>587143</v>
      </c>
      <c r="D35" s="17">
        <f>'7.pielikums'!G213</f>
        <v>587143</v>
      </c>
      <c r="E35" s="17">
        <f>'7.pielikums'!H213</f>
        <v>587143</v>
      </c>
      <c r="F35" s="17">
        <f>'7.pielikums'!I213</f>
        <v>587143</v>
      </c>
      <c r="G35" s="18">
        <f t="shared" si="1"/>
        <v>1628655.6722213565</v>
      </c>
      <c r="H35" s="33"/>
      <c r="I35" s="35"/>
    </row>
    <row r="36" spans="1:9" x14ac:dyDescent="0.35">
      <c r="A36" s="153" t="s">
        <v>46</v>
      </c>
      <c r="B36" s="133"/>
      <c r="C36" s="154">
        <f>SUM(C6:C35)</f>
        <v>98883902.538000003</v>
      </c>
      <c r="D36" s="154">
        <f>SUM(D6:D35)</f>
        <v>77982243.538000003</v>
      </c>
      <c r="E36" s="154">
        <f>SUM(E6:E35)</f>
        <v>79295929.538000003</v>
      </c>
      <c r="F36" s="154">
        <f>SUM(F6:F35)</f>
        <v>79168550.538000003</v>
      </c>
      <c r="G36" s="154"/>
      <c r="H36" s="154">
        <f t="shared" ref="H36" si="2">SUM(H6:H35)</f>
        <v>582</v>
      </c>
      <c r="I36" s="35"/>
    </row>
    <row r="37" spans="1:9" ht="29" x14ac:dyDescent="0.35">
      <c r="A37" s="138" t="s">
        <v>47</v>
      </c>
      <c r="B37" s="107">
        <v>10000000</v>
      </c>
      <c r="C37" s="152">
        <f>C38</f>
        <v>4190799</v>
      </c>
      <c r="D37" s="152">
        <f t="shared" ref="D37:F37" si="3">D38</f>
        <v>4357473</v>
      </c>
      <c r="E37" s="152">
        <f t="shared" si="3"/>
        <v>4357473</v>
      </c>
      <c r="F37" s="152">
        <f t="shared" si="3"/>
        <v>4357473</v>
      </c>
      <c r="G37" s="18">
        <f t="shared" si="1"/>
        <v>5809201</v>
      </c>
      <c r="I37" s="35"/>
    </row>
    <row r="38" spans="1:9" ht="29" x14ac:dyDescent="0.35">
      <c r="A38" s="105" t="s">
        <v>48</v>
      </c>
      <c r="B38" s="12"/>
      <c r="C38" s="126">
        <v>4190799</v>
      </c>
      <c r="D38" s="126">
        <v>4357473</v>
      </c>
      <c r="E38" s="126">
        <v>4357473</v>
      </c>
      <c r="F38" s="126">
        <v>4357473</v>
      </c>
      <c r="G38" s="18"/>
      <c r="I38" s="35"/>
    </row>
    <row r="39" spans="1:9" x14ac:dyDescent="0.35">
      <c r="A39" s="151" t="s">
        <v>49</v>
      </c>
      <c r="B39" s="15"/>
      <c r="C39" s="152" t="e">
        <f>SUM(C40:C48)-C41-C40</f>
        <v>#REF!</v>
      </c>
      <c r="D39" s="152">
        <f t="shared" ref="D39:F39" si="4">SUM(D40:D48)-D41-D40</f>
        <v>21725679.88885</v>
      </c>
      <c r="E39" s="152">
        <f t="shared" si="4"/>
        <v>21725679.88885</v>
      </c>
      <c r="F39" s="152">
        <f t="shared" si="4"/>
        <v>21725679.88885</v>
      </c>
      <c r="G39" s="152"/>
    </row>
    <row r="40" spans="1:9" ht="58" x14ac:dyDescent="0.35">
      <c r="A40" s="105" t="s">
        <v>50</v>
      </c>
      <c r="B40" s="12"/>
      <c r="C40" s="17" t="e">
        <f>'7.pielikums'!#REF!</f>
        <v>#REF!</v>
      </c>
      <c r="D40" s="17">
        <v>0</v>
      </c>
      <c r="E40" s="17">
        <v>0</v>
      </c>
      <c r="F40" s="17">
        <v>0</v>
      </c>
      <c r="G40" s="18"/>
    </row>
    <row r="41" spans="1:9" ht="29" x14ac:dyDescent="0.35">
      <c r="A41" s="105" t="s">
        <v>51</v>
      </c>
      <c r="B41" s="12"/>
      <c r="C41" s="126">
        <v>759769</v>
      </c>
      <c r="D41" s="126">
        <v>1139653</v>
      </c>
      <c r="E41" s="126">
        <v>1519538</v>
      </c>
      <c r="F41" s="126">
        <v>1519538</v>
      </c>
      <c r="G41" s="18"/>
    </row>
    <row r="42" spans="1:9" ht="26.25" customHeight="1" x14ac:dyDescent="0.35">
      <c r="A42" s="135" t="s">
        <v>52</v>
      </c>
      <c r="B42" s="134"/>
      <c r="C42" s="136">
        <v>17517215.88885</v>
      </c>
      <c r="D42" s="136">
        <v>17517215.88885</v>
      </c>
      <c r="E42" s="136">
        <v>17517215.88885</v>
      </c>
      <c r="F42" s="136">
        <v>17517215.88885</v>
      </c>
      <c r="G42" s="18"/>
    </row>
    <row r="43" spans="1:9" ht="48.75" customHeight="1" x14ac:dyDescent="0.35">
      <c r="A43" s="135" t="s">
        <v>53</v>
      </c>
      <c r="B43" s="137"/>
      <c r="C43" s="137">
        <v>1906623</v>
      </c>
      <c r="D43" s="137">
        <v>1906623</v>
      </c>
      <c r="E43" s="137">
        <v>1906623</v>
      </c>
      <c r="F43" s="137">
        <v>1906623</v>
      </c>
      <c r="G43" s="18"/>
      <c r="H43" s="451" t="s">
        <v>54</v>
      </c>
    </row>
    <row r="44" spans="1:9" ht="26.25" customHeight="1" x14ac:dyDescent="0.35">
      <c r="A44" s="135" t="s">
        <v>55</v>
      </c>
      <c r="B44" s="137"/>
      <c r="C44" s="137">
        <v>549881</v>
      </c>
      <c r="D44" s="137">
        <v>549881</v>
      </c>
      <c r="E44" s="137">
        <v>549881</v>
      </c>
      <c r="F44" s="137">
        <v>549881</v>
      </c>
      <c r="G44" s="18"/>
      <c r="H44" s="451"/>
    </row>
    <row r="45" spans="1:9" ht="26.25" customHeight="1" x14ac:dyDescent="0.35">
      <c r="A45" s="135" t="s">
        <v>56</v>
      </c>
      <c r="B45" s="137"/>
      <c r="C45" s="137">
        <v>181503.5</v>
      </c>
      <c r="D45" s="137">
        <v>181503.5</v>
      </c>
      <c r="E45" s="137">
        <v>181503.5</v>
      </c>
      <c r="F45" s="137">
        <v>181503.5</v>
      </c>
      <c r="G45" s="18"/>
      <c r="H45" s="451"/>
    </row>
    <row r="46" spans="1:9" ht="26.25" customHeight="1" x14ac:dyDescent="0.35">
      <c r="A46" s="135" t="s">
        <v>57</v>
      </c>
      <c r="B46" s="137"/>
      <c r="C46" s="137">
        <v>427726.5</v>
      </c>
      <c r="D46" s="137">
        <v>427726.5</v>
      </c>
      <c r="E46" s="137">
        <v>427726.5</v>
      </c>
      <c r="F46" s="137">
        <v>427726.5</v>
      </c>
      <c r="G46" s="18"/>
      <c r="H46" s="451"/>
    </row>
    <row r="47" spans="1:9" ht="26.25" customHeight="1" x14ac:dyDescent="0.35">
      <c r="A47" s="135" t="s">
        <v>58</v>
      </c>
      <c r="B47" s="29"/>
      <c r="C47" s="136">
        <v>806850</v>
      </c>
      <c r="D47" s="234">
        <v>1142730</v>
      </c>
      <c r="E47" s="234">
        <v>1142730</v>
      </c>
      <c r="F47" s="234">
        <v>1142730</v>
      </c>
      <c r="G47" s="18"/>
    </row>
    <row r="48" spans="1:9" ht="26.25" customHeight="1" x14ac:dyDescent="0.35">
      <c r="A48" s="135" t="s">
        <v>59</v>
      </c>
      <c r="B48" s="29"/>
      <c r="C48" s="136">
        <v>512642</v>
      </c>
      <c r="D48" s="136">
        <v>0</v>
      </c>
      <c r="E48" s="136">
        <v>0</v>
      </c>
      <c r="F48" s="136">
        <v>0</v>
      </c>
      <c r="G48" s="18"/>
    </row>
    <row r="49" spans="1:12" ht="72.5" x14ac:dyDescent="0.35">
      <c r="A49" s="172" t="s">
        <v>60</v>
      </c>
      <c r="B49" s="155"/>
      <c r="C49" s="154">
        <v>37100000</v>
      </c>
      <c r="D49" s="154">
        <v>36600000</v>
      </c>
      <c r="E49" s="154">
        <v>35200000</v>
      </c>
      <c r="F49" s="154"/>
      <c r="G49" s="156"/>
      <c r="H49" s="262" t="s">
        <v>61</v>
      </c>
      <c r="I49" s="157"/>
    </row>
    <row r="50" spans="1:12" x14ac:dyDescent="0.35">
      <c r="A50" s="198" t="s">
        <v>62</v>
      </c>
      <c r="B50" s="199">
        <f>SUM(B4:B37)</f>
        <v>150000000.00000003</v>
      </c>
      <c r="C50" s="200" t="e">
        <f>C36+C39+C37+C49</f>
        <v>#REF!</v>
      </c>
      <c r="D50" s="200">
        <f t="shared" ref="D50:F50" si="5">D36+D39+D37+D49</f>
        <v>140665396.42685002</v>
      </c>
      <c r="E50" s="200">
        <f t="shared" si="5"/>
        <v>140579082.42685002</v>
      </c>
      <c r="F50" s="200">
        <f t="shared" si="5"/>
        <v>105251703.42685001</v>
      </c>
      <c r="G50" s="201"/>
      <c r="I50" s="35"/>
    </row>
    <row r="51" spans="1:12" x14ac:dyDescent="0.35">
      <c r="C51" s="35"/>
      <c r="D51" s="35"/>
      <c r="E51" s="35"/>
      <c r="F51" s="35"/>
    </row>
    <row r="53" spans="1:12" ht="18.649999999999999" customHeight="1" x14ac:dyDescent="0.35">
      <c r="A53" s="452" t="s">
        <v>63</v>
      </c>
      <c r="B53" s="453"/>
      <c r="C53" s="456" t="s">
        <v>64</v>
      </c>
      <c r="D53" s="456"/>
      <c r="E53" s="456"/>
      <c r="F53" s="456"/>
    </row>
    <row r="54" spans="1:12" x14ac:dyDescent="0.35">
      <c r="A54" s="454"/>
      <c r="B54" s="455"/>
      <c r="C54" s="83">
        <v>2026</v>
      </c>
      <c r="D54" s="83">
        <v>2027</v>
      </c>
      <c r="E54" s="83">
        <v>2028</v>
      </c>
      <c r="F54" s="83">
        <v>2029</v>
      </c>
      <c r="G54" s="320">
        <v>1000000</v>
      </c>
    </row>
    <row r="55" spans="1:12" x14ac:dyDescent="0.35">
      <c r="A55" s="435" t="s">
        <v>65</v>
      </c>
      <c r="B55" s="435"/>
      <c r="C55" s="107" t="e">
        <f>'7.pielikums'!#REF!</f>
        <v>#REF!</v>
      </c>
      <c r="D55" s="107" t="e">
        <f>'7.pielikums'!#REF!</f>
        <v>#REF!</v>
      </c>
      <c r="E55" s="107" t="e">
        <f>'7.pielikums'!#REF!</f>
        <v>#REF!</v>
      </c>
      <c r="F55" s="107" t="e">
        <f>'7.pielikums'!#REF!</f>
        <v>#REF!</v>
      </c>
      <c r="I55">
        <f>18325276+1040146</f>
        <v>19365422</v>
      </c>
      <c r="J55">
        <f>16807907+1040146</f>
        <v>17848053</v>
      </c>
      <c r="K55">
        <f>17235442+1040146</f>
        <v>18275588</v>
      </c>
      <c r="L55">
        <f>17306840+1040146</f>
        <v>18346986</v>
      </c>
    </row>
    <row r="56" spans="1:12" x14ac:dyDescent="0.35">
      <c r="A56" s="435" t="s">
        <v>66</v>
      </c>
      <c r="B56" s="435"/>
      <c r="C56" s="107" t="e">
        <f>'7.pielikums'!#REF!</f>
        <v>#REF!</v>
      </c>
      <c r="D56" s="107" t="e">
        <f>'7.pielikums'!#REF!</f>
        <v>#REF!</v>
      </c>
      <c r="E56" s="107" t="e">
        <f>'7.pielikums'!#REF!</f>
        <v>#REF!</v>
      </c>
      <c r="F56" s="243" t="e">
        <f>'7.pielikums'!#REF!</f>
        <v>#REF!</v>
      </c>
      <c r="I56" s="35">
        <f>19365469+128463</f>
        <v>19493932</v>
      </c>
      <c r="J56" s="35">
        <f>16414940+128463</f>
        <v>16543403</v>
      </c>
      <c r="K56" s="35">
        <f>16192643+128463</f>
        <v>16321106</v>
      </c>
      <c r="L56" s="35">
        <f>16074006+128463</f>
        <v>16202469</v>
      </c>
    </row>
    <row r="57" spans="1:12" x14ac:dyDescent="0.35">
      <c r="A57" s="435" t="s">
        <v>67</v>
      </c>
      <c r="B57" s="435"/>
      <c r="C57" s="107" t="e">
        <f>'7.pielikums'!#REF!</f>
        <v>#REF!</v>
      </c>
      <c r="D57" s="107" t="e">
        <f>'7.pielikums'!#REF!</f>
        <v>#REF!</v>
      </c>
      <c r="E57" s="241" t="e">
        <f>'7.pielikums'!#REF!</f>
        <v>#REF!</v>
      </c>
      <c r="F57" s="242" t="e">
        <f>'7.pielikums'!#REF!</f>
        <v>#REF!</v>
      </c>
      <c r="G57" s="240"/>
      <c r="I57" s="35">
        <v>21664274</v>
      </c>
      <c r="J57" s="35">
        <v>25558121</v>
      </c>
      <c r="K57" s="35">
        <v>25938006</v>
      </c>
      <c r="L57" s="35">
        <v>25938006</v>
      </c>
    </row>
    <row r="58" spans="1:12" x14ac:dyDescent="0.35">
      <c r="A58" s="435" t="s">
        <v>68</v>
      </c>
      <c r="B58" s="435"/>
      <c r="C58" s="107" t="e">
        <f>'7.pielikums'!#REF!</f>
        <v>#REF!</v>
      </c>
      <c r="D58" s="107" t="e">
        <f>'7.pielikums'!#REF!</f>
        <v>#REF!</v>
      </c>
      <c r="E58" s="107" t="e">
        <f>'7.pielikums'!#REF!</f>
        <v>#REF!</v>
      </c>
      <c r="F58" s="244" t="e">
        <f>'7.pielikums'!#REF!</f>
        <v>#REF!</v>
      </c>
      <c r="H58" s="35"/>
      <c r="I58" s="35"/>
      <c r="J58" s="35"/>
      <c r="K58" s="35"/>
    </row>
    <row r="59" spans="1:12" ht="13" customHeight="1" x14ac:dyDescent="0.35">
      <c r="A59" s="435" t="s">
        <v>69</v>
      </c>
      <c r="B59" s="435"/>
      <c r="C59" s="107" t="e">
        <f>'7.pielikums'!#REF!</f>
        <v>#REF!</v>
      </c>
      <c r="D59" s="107" t="e">
        <f>'7.pielikums'!#REF!</f>
        <v>#REF!</v>
      </c>
      <c r="E59" s="107" t="e">
        <f>'7.pielikums'!#REF!</f>
        <v>#REF!</v>
      </c>
      <c r="F59" s="107" t="e">
        <f>'7.pielikums'!#REF!</f>
        <v>#REF!</v>
      </c>
    </row>
    <row r="60" spans="1:12" ht="29.25" customHeight="1" x14ac:dyDescent="0.35">
      <c r="A60" s="435" t="s">
        <v>70</v>
      </c>
      <c r="B60" s="435"/>
      <c r="C60" s="107" t="e">
        <f>'7.pielikums'!#REF!</f>
        <v>#REF!</v>
      </c>
      <c r="D60" s="107" t="e">
        <f>'7.pielikums'!#REF!</f>
        <v>#REF!</v>
      </c>
      <c r="E60" s="107" t="e">
        <f>'7.pielikums'!#REF!</f>
        <v>#REF!</v>
      </c>
      <c r="F60" s="107" t="e">
        <f>'7.pielikums'!#REF!</f>
        <v>#REF!</v>
      </c>
    </row>
    <row r="61" spans="1:12" x14ac:dyDescent="0.35">
      <c r="A61" s="435" t="s">
        <v>71</v>
      </c>
      <c r="B61" s="435"/>
      <c r="C61" s="107" t="e">
        <f>'7.pielikums'!#REF!</f>
        <v>#REF!</v>
      </c>
      <c r="D61" s="107" t="e">
        <f>'7.pielikums'!#REF!</f>
        <v>#REF!</v>
      </c>
      <c r="E61" s="107" t="e">
        <f>'7.pielikums'!#REF!</f>
        <v>#REF!</v>
      </c>
      <c r="F61" s="107" t="e">
        <f>'7.pielikums'!#REF!</f>
        <v>#REF!</v>
      </c>
    </row>
    <row r="62" spans="1:12" x14ac:dyDescent="0.35">
      <c r="A62" s="436" t="s">
        <v>6</v>
      </c>
      <c r="B62" s="436"/>
      <c r="C62" s="102" t="e">
        <f>SUM(C55:C61)</f>
        <v>#REF!</v>
      </c>
      <c r="D62" s="315" t="e">
        <f>SUM(D55:D61)</f>
        <v>#REF!</v>
      </c>
      <c r="E62" s="315" t="e">
        <f t="shared" ref="E62:F62" si="6">SUM(E55:E61)</f>
        <v>#REF!</v>
      </c>
      <c r="F62" s="315" t="e">
        <f t="shared" si="6"/>
        <v>#REF!</v>
      </c>
      <c r="G62" s="35"/>
    </row>
    <row r="63" spans="1:12" x14ac:dyDescent="0.35">
      <c r="C63" s="35" t="e">
        <f>C62-C36</f>
        <v>#REF!</v>
      </c>
      <c r="D63" s="35" t="e">
        <f>D62-D36</f>
        <v>#REF!</v>
      </c>
      <c r="E63" s="35" t="e">
        <f>E62-E36</f>
        <v>#REF!</v>
      </c>
      <c r="F63" s="35" t="e">
        <f>F62-F36</f>
        <v>#REF!</v>
      </c>
    </row>
    <row r="64" spans="1:12" x14ac:dyDescent="0.35">
      <c r="C64" s="319" t="e">
        <f>C62/$G$54</f>
        <v>#REF!</v>
      </c>
      <c r="D64" s="319" t="e">
        <f t="shared" ref="D64:F64" si="7">D62/$G$54</f>
        <v>#REF!</v>
      </c>
      <c r="E64" s="319" t="e">
        <f t="shared" si="7"/>
        <v>#REF!</v>
      </c>
      <c r="F64" s="319" t="e">
        <f t="shared" si="7"/>
        <v>#REF!</v>
      </c>
    </row>
    <row r="65" spans="1:6" hidden="1" x14ac:dyDescent="0.35">
      <c r="A65" s="437" t="s">
        <v>49</v>
      </c>
      <c r="B65" s="438"/>
      <c r="C65" s="106"/>
      <c r="D65" s="158"/>
      <c r="E65" s="158"/>
      <c r="F65" s="158"/>
    </row>
    <row r="66" spans="1:6" ht="49.5" hidden="1" customHeight="1" x14ac:dyDescent="0.35">
      <c r="A66" s="439" t="s">
        <v>72</v>
      </c>
      <c r="B66" s="440"/>
      <c r="C66" s="12">
        <v>16202891</v>
      </c>
      <c r="D66" s="159"/>
      <c r="E66" s="159"/>
      <c r="F66" s="159"/>
    </row>
    <row r="67" spans="1:6" ht="30.75" hidden="1" customHeight="1" x14ac:dyDescent="0.35">
      <c r="A67" s="439" t="s">
        <v>73</v>
      </c>
      <c r="B67" s="440"/>
      <c r="C67" s="12">
        <v>31958843</v>
      </c>
      <c r="D67" s="159"/>
      <c r="E67" s="159"/>
      <c r="F67" s="159"/>
    </row>
    <row r="68" spans="1:6" hidden="1" x14ac:dyDescent="0.35">
      <c r="A68" s="439" t="s">
        <v>52</v>
      </c>
      <c r="B68" s="440"/>
      <c r="C68" s="12">
        <v>17517215.88885</v>
      </c>
      <c r="D68" s="159"/>
      <c r="E68" s="159"/>
      <c r="F68" s="159"/>
    </row>
    <row r="69" spans="1:6" ht="27" hidden="1" customHeight="1" x14ac:dyDescent="0.35">
      <c r="A69" s="441" t="s">
        <v>74</v>
      </c>
      <c r="B69" s="442"/>
      <c r="C69" s="12">
        <v>3546047</v>
      </c>
      <c r="D69" s="159"/>
      <c r="E69" s="159"/>
      <c r="F69" s="159"/>
    </row>
    <row r="70" spans="1:6" ht="33.75" hidden="1" customHeight="1" x14ac:dyDescent="0.35">
      <c r="A70" s="441" t="s">
        <v>75</v>
      </c>
      <c r="B70" s="442"/>
      <c r="C70" s="12">
        <v>16705061</v>
      </c>
      <c r="D70" s="159"/>
      <c r="E70" s="159"/>
      <c r="F70" s="159"/>
    </row>
    <row r="71" spans="1:6" ht="32.25" hidden="1" customHeight="1" x14ac:dyDescent="0.35">
      <c r="A71" s="430" t="s">
        <v>53</v>
      </c>
      <c r="B71" s="431"/>
      <c r="C71" s="128">
        <f>5402404-626967-167612</f>
        <v>4607825</v>
      </c>
      <c r="D71" s="160"/>
      <c r="E71" s="160"/>
      <c r="F71" s="160"/>
    </row>
    <row r="72" spans="1:6" hidden="1" x14ac:dyDescent="0.35">
      <c r="A72" s="430" t="s">
        <v>76</v>
      </c>
      <c r="B72" s="431"/>
      <c r="C72" s="127">
        <v>806850</v>
      </c>
      <c r="D72" s="161"/>
      <c r="E72" s="161"/>
      <c r="F72" s="161"/>
    </row>
    <row r="73" spans="1:6" hidden="1" x14ac:dyDescent="0.35">
      <c r="A73" s="430" t="s">
        <v>59</v>
      </c>
      <c r="B73" s="431"/>
      <c r="C73" s="127">
        <v>512642</v>
      </c>
      <c r="D73" s="161"/>
      <c r="E73" s="161"/>
      <c r="F73" s="161"/>
    </row>
    <row r="74" spans="1:6" hidden="1" x14ac:dyDescent="0.35">
      <c r="A74" s="432" t="s">
        <v>6</v>
      </c>
      <c r="B74" s="433"/>
      <c r="C74" s="15">
        <f>SUM(C66:C73)</f>
        <v>91857374.888850003</v>
      </c>
      <c r="D74" s="162"/>
      <c r="E74" s="162"/>
      <c r="F74" s="162"/>
    </row>
    <row r="76" spans="1:6" x14ac:dyDescent="0.35">
      <c r="A76" s="36" t="s">
        <v>77</v>
      </c>
    </row>
    <row r="81" spans="1:7" x14ac:dyDescent="0.35">
      <c r="A81" s="424" t="s">
        <v>9</v>
      </c>
      <c r="B81" s="419" t="s">
        <v>10</v>
      </c>
      <c r="C81" s="434" t="s">
        <v>995</v>
      </c>
      <c r="D81" s="434"/>
      <c r="E81" s="434"/>
      <c r="F81" s="434"/>
    </row>
    <row r="82" spans="1:7" x14ac:dyDescent="0.35">
      <c r="A82" s="425"/>
      <c r="B82" s="420"/>
      <c r="C82" s="321">
        <v>2026</v>
      </c>
      <c r="D82" s="322">
        <v>2027</v>
      </c>
      <c r="E82" s="322">
        <v>2028</v>
      </c>
      <c r="F82" s="322">
        <v>2029</v>
      </c>
    </row>
    <row r="83" spans="1:7" x14ac:dyDescent="0.35">
      <c r="A83" s="14" t="s">
        <v>16</v>
      </c>
      <c r="B83" s="12">
        <v>1271839.0672337033</v>
      </c>
      <c r="C83">
        <v>1271839</v>
      </c>
      <c r="D83">
        <v>1271839</v>
      </c>
      <c r="E83">
        <v>1271839</v>
      </c>
      <c r="F83">
        <v>1271839</v>
      </c>
      <c r="G83">
        <v>1000000</v>
      </c>
    </row>
    <row r="84" spans="1:7" ht="29" x14ac:dyDescent="0.35">
      <c r="A84" s="14" t="s">
        <v>17</v>
      </c>
      <c r="B84" s="12">
        <v>1491518.2369331915</v>
      </c>
      <c r="C84">
        <v>1276469</v>
      </c>
      <c r="D84">
        <v>1656353</v>
      </c>
      <c r="E84">
        <v>2036238</v>
      </c>
      <c r="F84">
        <v>2036238</v>
      </c>
    </row>
    <row r="85" spans="1:7" x14ac:dyDescent="0.35">
      <c r="A85" s="14" t="s">
        <v>19</v>
      </c>
      <c r="B85" s="12">
        <v>447794.85017662996</v>
      </c>
      <c r="C85">
        <v>223898</v>
      </c>
      <c r="D85">
        <v>223898</v>
      </c>
      <c r="E85">
        <v>223898</v>
      </c>
      <c r="F85">
        <v>223898</v>
      </c>
    </row>
    <row r="86" spans="1:7" x14ac:dyDescent="0.35">
      <c r="A86" s="14" t="s">
        <v>21</v>
      </c>
      <c r="B86" s="12">
        <v>439198.53702815337</v>
      </c>
      <c r="C86">
        <v>439199</v>
      </c>
      <c r="D86">
        <v>439199</v>
      </c>
      <c r="E86">
        <v>439199</v>
      </c>
      <c r="F86">
        <v>439199</v>
      </c>
    </row>
    <row r="87" spans="1:7" x14ac:dyDescent="0.35">
      <c r="A87" s="14" t="s">
        <v>22</v>
      </c>
      <c r="B87" s="12">
        <v>3836046.7504088115</v>
      </c>
      <c r="C87">
        <v>3836047</v>
      </c>
      <c r="D87">
        <v>3836047</v>
      </c>
      <c r="E87">
        <v>3836047</v>
      </c>
      <c r="F87">
        <v>3529804</v>
      </c>
    </row>
    <row r="88" spans="1:7" x14ac:dyDescent="0.35">
      <c r="A88" s="14" t="s">
        <v>23</v>
      </c>
      <c r="B88" s="12">
        <v>9552158.2816634588</v>
      </c>
      <c r="C88">
        <v>9552158</v>
      </c>
      <c r="D88">
        <v>9552158</v>
      </c>
      <c r="E88">
        <v>9552158</v>
      </c>
      <c r="F88">
        <v>9552158</v>
      </c>
    </row>
    <row r="89" spans="1:7" x14ac:dyDescent="0.35">
      <c r="A89" s="14" t="s">
        <v>24</v>
      </c>
      <c r="B89" s="12">
        <v>17108349.689786598</v>
      </c>
      <c r="C89">
        <v>17108350</v>
      </c>
      <c r="D89">
        <v>17108350</v>
      </c>
      <c r="E89">
        <v>17108350</v>
      </c>
      <c r="F89">
        <v>17108350</v>
      </c>
    </row>
    <row r="90" spans="1:7" x14ac:dyDescent="0.35">
      <c r="A90" s="14" t="s">
        <v>25</v>
      </c>
      <c r="B90" s="12">
        <v>521275.33362444176</v>
      </c>
      <c r="C90">
        <v>521275</v>
      </c>
      <c r="D90">
        <v>521275</v>
      </c>
      <c r="E90">
        <v>521275</v>
      </c>
      <c r="F90">
        <v>521275</v>
      </c>
    </row>
    <row r="91" spans="1:7" x14ac:dyDescent="0.35">
      <c r="A91" s="14" t="s">
        <v>26</v>
      </c>
      <c r="B91" s="12">
        <v>22389504.795674726</v>
      </c>
      <c r="C91">
        <v>8081047</v>
      </c>
      <c r="D91">
        <v>7918851</v>
      </c>
      <c r="E91">
        <v>7918851</v>
      </c>
      <c r="F91">
        <v>7918851</v>
      </c>
    </row>
    <row r="92" spans="1:7" x14ac:dyDescent="0.35">
      <c r="A92" s="14" t="s">
        <v>27</v>
      </c>
      <c r="B92" s="12">
        <v>7480373.0263613481</v>
      </c>
      <c r="C92">
        <v>6989345.5379999997</v>
      </c>
      <c r="D92">
        <v>6989345.5379999997</v>
      </c>
      <c r="E92">
        <v>6989345.5379999997</v>
      </c>
      <c r="F92">
        <v>6989345.5379999997</v>
      </c>
    </row>
    <row r="93" spans="1:7" x14ac:dyDescent="0.35">
      <c r="A93" s="14" t="s">
        <v>28</v>
      </c>
      <c r="B93" s="12">
        <v>23220237.849936884</v>
      </c>
      <c r="C93">
        <v>18087021</v>
      </c>
      <c r="D93">
        <v>18091557</v>
      </c>
      <c r="E93">
        <v>18096255</v>
      </c>
      <c r="F93">
        <v>18101119</v>
      </c>
    </row>
    <row r="94" spans="1:7" x14ac:dyDescent="0.35">
      <c r="A94" s="14" t="s">
        <v>29</v>
      </c>
      <c r="B94" s="12">
        <v>2192794.3906385093</v>
      </c>
      <c r="C94">
        <v>2192794</v>
      </c>
      <c r="D94">
        <v>2192794</v>
      </c>
      <c r="E94">
        <v>2192794</v>
      </c>
      <c r="F94">
        <v>2192794</v>
      </c>
    </row>
    <row r="95" spans="1:7" x14ac:dyDescent="0.35">
      <c r="A95" s="14" t="s">
        <v>30</v>
      </c>
      <c r="B95" s="12">
        <v>15947438.099421423</v>
      </c>
      <c r="C95">
        <v>12111241</v>
      </c>
      <c r="D95">
        <v>6735433</v>
      </c>
      <c r="E95">
        <v>6735433</v>
      </c>
      <c r="F95">
        <v>6735433</v>
      </c>
    </row>
    <row r="96" spans="1:7" x14ac:dyDescent="0.35">
      <c r="A96" s="14" t="s">
        <v>31</v>
      </c>
      <c r="B96" s="12">
        <v>2492977.3104489706</v>
      </c>
      <c r="C96">
        <v>2492977</v>
      </c>
      <c r="D96">
        <v>2492977</v>
      </c>
      <c r="E96">
        <v>2492977</v>
      </c>
      <c r="F96">
        <v>2492977</v>
      </c>
    </row>
    <row r="97" spans="1:28" ht="29" x14ac:dyDescent="0.35">
      <c r="A97" s="14" t="s">
        <v>32</v>
      </c>
      <c r="B97" s="12">
        <v>3535290.6508669835</v>
      </c>
      <c r="C97">
        <v>3535291</v>
      </c>
      <c r="D97">
        <v>3535291</v>
      </c>
      <c r="E97">
        <v>3535291</v>
      </c>
      <c r="F97">
        <v>3535291</v>
      </c>
    </row>
    <row r="98" spans="1:28" x14ac:dyDescent="0.35">
      <c r="A98" s="14" t="s">
        <v>33</v>
      </c>
      <c r="B98" s="12">
        <v>13618408.168829827</v>
      </c>
      <c r="C98">
        <v>1952198</v>
      </c>
      <c r="D98">
        <v>1952198</v>
      </c>
      <c r="E98">
        <v>1952198</v>
      </c>
      <c r="F98">
        <v>1952198</v>
      </c>
    </row>
    <row r="99" spans="1:28" ht="15" customHeight="1" x14ac:dyDescent="0.35">
      <c r="A99" s="14" t="s">
        <v>36</v>
      </c>
      <c r="B99" s="12">
        <v>4596501.2292122385</v>
      </c>
      <c r="C99">
        <v>4596501</v>
      </c>
      <c r="D99">
        <v>4596501</v>
      </c>
      <c r="E99">
        <v>4596501</v>
      </c>
      <c r="F99">
        <v>4596501</v>
      </c>
      <c r="Y99" s="419" t="s">
        <v>9</v>
      </c>
      <c r="Z99" s="421" t="s">
        <v>1000</v>
      </c>
      <c r="AA99" s="422"/>
      <c r="AB99" s="423"/>
    </row>
    <row r="100" spans="1:28" ht="29" x14ac:dyDescent="0.35">
      <c r="A100" s="14" t="s">
        <v>44</v>
      </c>
      <c r="B100" s="12">
        <v>7642495.0595327485</v>
      </c>
      <c r="C100">
        <v>7642495</v>
      </c>
      <c r="D100">
        <v>7642495</v>
      </c>
      <c r="E100">
        <v>7642495</v>
      </c>
      <c r="F100">
        <v>7642495</v>
      </c>
      <c r="Y100" s="420"/>
      <c r="Z100" s="322">
        <v>2027</v>
      </c>
      <c r="AA100" s="322">
        <v>2028</v>
      </c>
      <c r="AB100" s="322">
        <v>2029</v>
      </c>
    </row>
    <row r="101" spans="1:28" x14ac:dyDescent="0.35">
      <c r="A101" s="14" t="s">
        <v>45</v>
      </c>
      <c r="B101" s="12">
        <v>2215798.6722213565</v>
      </c>
      <c r="C101">
        <v>2215799</v>
      </c>
      <c r="D101">
        <v>2215799</v>
      </c>
      <c r="E101">
        <v>2215799</v>
      </c>
      <c r="F101">
        <v>2215799</v>
      </c>
      <c r="Y101" s="14" t="s">
        <v>775</v>
      </c>
      <c r="Z101" s="323">
        <v>1.2718389999999999</v>
      </c>
      <c r="AA101" s="323">
        <v>1.2718389999999999</v>
      </c>
      <c r="AB101" s="323">
        <v>1.2718389999999999</v>
      </c>
    </row>
    <row r="102" spans="1:28" x14ac:dyDescent="0.35">
      <c r="A102" s="153"/>
      <c r="B102" s="133">
        <f>SUM(B83:B101)</f>
        <v>140000000.00000003</v>
      </c>
      <c r="C102" s="133">
        <f t="shared" ref="C102:F102" si="8">SUM(C83:C101)</f>
        <v>104125944.538</v>
      </c>
      <c r="D102" s="133">
        <f t="shared" si="8"/>
        <v>98972360.538000003</v>
      </c>
      <c r="E102" s="133">
        <f t="shared" si="8"/>
        <v>99356943.538000003</v>
      </c>
      <c r="F102" s="133">
        <f t="shared" si="8"/>
        <v>99055564.538000003</v>
      </c>
      <c r="Y102" s="14" t="s">
        <v>793</v>
      </c>
      <c r="Z102" s="323">
        <v>1.656353</v>
      </c>
      <c r="AA102" s="323">
        <v>2.036238</v>
      </c>
      <c r="AB102" s="323">
        <v>2.036238</v>
      </c>
    </row>
    <row r="103" spans="1:28" x14ac:dyDescent="0.35">
      <c r="C103" s="35" t="e">
        <f>C102-C62</f>
        <v>#REF!</v>
      </c>
      <c r="D103" s="35" t="e">
        <f t="shared" ref="D103:F103" si="9">D102-D62</f>
        <v>#REF!</v>
      </c>
      <c r="E103" s="35" t="e">
        <f t="shared" si="9"/>
        <v>#REF!</v>
      </c>
      <c r="F103" s="35" t="e">
        <f t="shared" si="9"/>
        <v>#REF!</v>
      </c>
      <c r="Y103" s="14" t="s">
        <v>996</v>
      </c>
      <c r="Z103" s="323">
        <v>0.22389800000000001</v>
      </c>
      <c r="AA103" s="323">
        <v>0.22389800000000001</v>
      </c>
      <c r="AB103" s="323">
        <v>0.22389800000000001</v>
      </c>
    </row>
    <row r="104" spans="1:28" ht="15" customHeight="1" x14ac:dyDescent="0.35">
      <c r="A104" s="424" t="s">
        <v>9</v>
      </c>
      <c r="B104" s="419" t="s">
        <v>1003</v>
      </c>
      <c r="C104" s="426" t="s">
        <v>1002</v>
      </c>
      <c r="D104" s="325"/>
      <c r="E104" s="325"/>
      <c r="F104" s="326"/>
      <c r="Y104" s="14" t="s">
        <v>772</v>
      </c>
      <c r="Z104" s="323">
        <v>0.43919900000000001</v>
      </c>
      <c r="AA104" s="323">
        <v>0.43919900000000001</v>
      </c>
      <c r="AB104" s="323">
        <v>0.43919900000000001</v>
      </c>
    </row>
    <row r="105" spans="1:28" x14ac:dyDescent="0.35">
      <c r="A105" s="425"/>
      <c r="B105" s="420"/>
      <c r="C105" s="427"/>
      <c r="D105" s="322">
        <v>2027</v>
      </c>
      <c r="E105" s="322">
        <v>2028</v>
      </c>
      <c r="F105" s="322">
        <v>2029</v>
      </c>
      <c r="Y105" s="14" t="s">
        <v>777</v>
      </c>
      <c r="Z105" s="323">
        <v>3.8360470000000002</v>
      </c>
      <c r="AA105" s="323">
        <v>3.8360470000000002</v>
      </c>
      <c r="AB105" s="323">
        <v>3.5298039999999999</v>
      </c>
    </row>
    <row r="106" spans="1:28" x14ac:dyDescent="0.35">
      <c r="A106" s="14" t="s">
        <v>775</v>
      </c>
      <c r="B106" s="323">
        <f>B83/$G$83</f>
        <v>1.2718390672337034</v>
      </c>
      <c r="C106" s="323">
        <f t="shared" ref="C106:F106" si="10">C83/$G$83</f>
        <v>1.2718389999999999</v>
      </c>
      <c r="D106" s="323">
        <f t="shared" si="10"/>
        <v>1.2718389999999999</v>
      </c>
      <c r="E106" s="323">
        <f t="shared" si="10"/>
        <v>1.2718389999999999</v>
      </c>
      <c r="F106" s="323">
        <f t="shared" si="10"/>
        <v>1.2718389999999999</v>
      </c>
      <c r="Y106" s="14" t="s">
        <v>790</v>
      </c>
      <c r="Z106" s="323">
        <v>9.5521580000000004</v>
      </c>
      <c r="AA106" s="323">
        <v>9.5521580000000004</v>
      </c>
      <c r="AB106" s="323">
        <v>9.5521580000000004</v>
      </c>
    </row>
    <row r="107" spans="1:28" x14ac:dyDescent="0.35">
      <c r="A107" s="14" t="s">
        <v>793</v>
      </c>
      <c r="B107" s="323">
        <f t="shared" ref="B107:F107" si="11">B84/$G$83</f>
        <v>1.4915182369331916</v>
      </c>
      <c r="C107" s="323">
        <f t="shared" si="11"/>
        <v>1.2764690000000001</v>
      </c>
      <c r="D107" s="323">
        <f t="shared" si="11"/>
        <v>1.656353</v>
      </c>
      <c r="E107" s="323">
        <f t="shared" si="11"/>
        <v>2.036238</v>
      </c>
      <c r="F107" s="323">
        <f t="shared" si="11"/>
        <v>2.036238</v>
      </c>
      <c r="Y107" s="14" t="s">
        <v>779</v>
      </c>
      <c r="Z107" s="323">
        <v>17.108350000000002</v>
      </c>
      <c r="AA107" s="323">
        <v>17.108350000000002</v>
      </c>
      <c r="AB107" s="323">
        <v>17.108350000000002</v>
      </c>
    </row>
    <row r="108" spans="1:28" x14ac:dyDescent="0.35">
      <c r="A108" s="14" t="s">
        <v>996</v>
      </c>
      <c r="B108" s="323">
        <f t="shared" ref="B108:F108" si="12">B85/$G$83</f>
        <v>0.44779485017662995</v>
      </c>
      <c r="C108" s="323">
        <f t="shared" si="12"/>
        <v>0.22389800000000001</v>
      </c>
      <c r="D108" s="323">
        <f t="shared" si="12"/>
        <v>0.22389800000000001</v>
      </c>
      <c r="E108" s="323">
        <f t="shared" si="12"/>
        <v>0.22389800000000001</v>
      </c>
      <c r="F108" s="323">
        <f t="shared" si="12"/>
        <v>0.22389800000000001</v>
      </c>
      <c r="Y108" s="14" t="s">
        <v>788</v>
      </c>
      <c r="Z108" s="323">
        <v>0.52127500000000004</v>
      </c>
      <c r="AA108" s="323">
        <v>0.52127500000000004</v>
      </c>
      <c r="AB108" s="323">
        <v>0.52127500000000004</v>
      </c>
    </row>
    <row r="109" spans="1:28" x14ac:dyDescent="0.35">
      <c r="A109" s="14" t="s">
        <v>772</v>
      </c>
      <c r="B109" s="323">
        <f t="shared" ref="B109:F109" si="13">B86/$G$83</f>
        <v>0.43919853702815337</v>
      </c>
      <c r="C109" s="323">
        <f t="shared" si="13"/>
        <v>0.43919900000000001</v>
      </c>
      <c r="D109" s="323">
        <f t="shared" si="13"/>
        <v>0.43919900000000001</v>
      </c>
      <c r="E109" s="323">
        <f t="shared" si="13"/>
        <v>0.43919900000000001</v>
      </c>
      <c r="F109" s="323">
        <f t="shared" si="13"/>
        <v>0.43919900000000001</v>
      </c>
      <c r="Y109" s="14" t="s">
        <v>773</v>
      </c>
      <c r="Z109" s="323">
        <v>7.9188510000000001</v>
      </c>
      <c r="AA109" s="323">
        <v>7.9188510000000001</v>
      </c>
      <c r="AB109" s="323">
        <v>7.9188510000000001</v>
      </c>
    </row>
    <row r="110" spans="1:28" x14ac:dyDescent="0.35">
      <c r="A110" s="14" t="s">
        <v>777</v>
      </c>
      <c r="B110" s="323">
        <f t="shared" ref="B110:F110" si="14">B87/$G$83</f>
        <v>3.8360467504088116</v>
      </c>
      <c r="C110" s="323">
        <f t="shared" si="14"/>
        <v>3.8360470000000002</v>
      </c>
      <c r="D110" s="323">
        <f t="shared" si="14"/>
        <v>3.8360470000000002</v>
      </c>
      <c r="E110" s="323">
        <f t="shared" si="14"/>
        <v>3.8360470000000002</v>
      </c>
      <c r="F110" s="323">
        <f t="shared" si="14"/>
        <v>3.5298039999999999</v>
      </c>
      <c r="Y110" s="14" t="s">
        <v>791</v>
      </c>
      <c r="Z110" s="323">
        <v>6.9893455379999994</v>
      </c>
      <c r="AA110" s="323">
        <v>6.9893455379999994</v>
      </c>
      <c r="AB110" s="323">
        <v>6.9893455379999994</v>
      </c>
    </row>
    <row r="111" spans="1:28" x14ac:dyDescent="0.35">
      <c r="A111" s="14" t="s">
        <v>790</v>
      </c>
      <c r="B111" s="323">
        <f t="shared" ref="B111:F111" si="15">B88/$G$83</f>
        <v>9.5521582816634591</v>
      </c>
      <c r="C111" s="323">
        <f t="shared" si="15"/>
        <v>9.5521580000000004</v>
      </c>
      <c r="D111" s="323">
        <f t="shared" si="15"/>
        <v>9.5521580000000004</v>
      </c>
      <c r="E111" s="323">
        <f t="shared" si="15"/>
        <v>9.5521580000000004</v>
      </c>
      <c r="F111" s="323">
        <f t="shared" si="15"/>
        <v>9.5521580000000004</v>
      </c>
      <c r="Y111" s="14" t="s">
        <v>783</v>
      </c>
      <c r="Z111" s="323">
        <v>18.091557000000002</v>
      </c>
      <c r="AA111" s="323">
        <v>18.096254999999999</v>
      </c>
      <c r="AB111" s="323">
        <v>18.101119000000001</v>
      </c>
    </row>
    <row r="112" spans="1:28" x14ac:dyDescent="0.35">
      <c r="A112" s="14" t="s">
        <v>779</v>
      </c>
      <c r="B112" s="323">
        <f t="shared" ref="B112:F112" si="16">B89/$G$83</f>
        <v>17.108349689786596</v>
      </c>
      <c r="C112" s="323">
        <f t="shared" si="16"/>
        <v>17.108350000000002</v>
      </c>
      <c r="D112" s="323">
        <f t="shared" si="16"/>
        <v>17.108350000000002</v>
      </c>
      <c r="E112" s="323">
        <f t="shared" si="16"/>
        <v>17.108350000000002</v>
      </c>
      <c r="F112" s="323">
        <f t="shared" si="16"/>
        <v>17.108350000000002</v>
      </c>
      <c r="Y112" s="14" t="s">
        <v>998</v>
      </c>
      <c r="Z112" s="323">
        <v>2.1927940000000001</v>
      </c>
      <c r="AA112" s="323">
        <v>2.1927940000000001</v>
      </c>
      <c r="AB112" s="323">
        <v>2.1927940000000001</v>
      </c>
    </row>
    <row r="113" spans="1:28" x14ac:dyDescent="0.35">
      <c r="A113" s="14" t="s">
        <v>788</v>
      </c>
      <c r="B113" s="323">
        <f t="shared" ref="B113:F113" si="17">B90/$G$83</f>
        <v>0.52127533362444178</v>
      </c>
      <c r="C113" s="323">
        <f t="shared" si="17"/>
        <v>0.52127500000000004</v>
      </c>
      <c r="D113" s="323">
        <f t="shared" si="17"/>
        <v>0.52127500000000004</v>
      </c>
      <c r="E113" s="323">
        <f t="shared" si="17"/>
        <v>0.52127500000000004</v>
      </c>
      <c r="F113" s="323">
        <f t="shared" si="17"/>
        <v>0.52127500000000004</v>
      </c>
      <c r="Y113" s="14" t="s">
        <v>999</v>
      </c>
      <c r="Z113" s="323">
        <v>2.2157990000000001</v>
      </c>
      <c r="AA113" s="323">
        <v>2.2157990000000001</v>
      </c>
      <c r="AB113" s="323">
        <v>2.2157990000000001</v>
      </c>
    </row>
    <row r="114" spans="1:28" x14ac:dyDescent="0.35">
      <c r="A114" s="14" t="s">
        <v>773</v>
      </c>
      <c r="B114" s="323">
        <f t="shared" ref="B114:F114" si="18">B91/$G$83</f>
        <v>22.389504795674725</v>
      </c>
      <c r="C114" s="323">
        <f t="shared" si="18"/>
        <v>8.0810469999999999</v>
      </c>
      <c r="D114" s="323">
        <f t="shared" si="18"/>
        <v>7.9188510000000001</v>
      </c>
      <c r="E114" s="323">
        <f t="shared" si="18"/>
        <v>7.9188510000000001</v>
      </c>
      <c r="F114" s="323">
        <f t="shared" si="18"/>
        <v>7.9188510000000001</v>
      </c>
      <c r="Y114" s="14" t="s">
        <v>797</v>
      </c>
      <c r="Z114" s="323">
        <v>6.7354329999999996</v>
      </c>
      <c r="AA114" s="323">
        <v>6.7354329999999996</v>
      </c>
      <c r="AB114" s="323">
        <v>6.7354329999999996</v>
      </c>
    </row>
    <row r="115" spans="1:28" x14ac:dyDescent="0.35">
      <c r="A115" s="14" t="s">
        <v>791</v>
      </c>
      <c r="B115" s="323">
        <f t="shared" ref="B115:F115" si="19">B92/$G$83</f>
        <v>7.4803730263613479</v>
      </c>
      <c r="C115" s="323">
        <f t="shared" si="19"/>
        <v>6.9893455379999994</v>
      </c>
      <c r="D115" s="323">
        <f t="shared" si="19"/>
        <v>6.9893455379999994</v>
      </c>
      <c r="E115" s="323">
        <f t="shared" si="19"/>
        <v>6.9893455379999994</v>
      </c>
      <c r="F115" s="323">
        <f t="shared" si="19"/>
        <v>6.9893455379999994</v>
      </c>
      <c r="Y115" s="14" t="s">
        <v>781</v>
      </c>
      <c r="Z115" s="323">
        <v>2.4929770000000002</v>
      </c>
      <c r="AA115" s="323">
        <v>2.4929770000000002</v>
      </c>
      <c r="AB115" s="323">
        <v>2.4929770000000002</v>
      </c>
    </row>
    <row r="116" spans="1:28" x14ac:dyDescent="0.35">
      <c r="A116" s="14" t="s">
        <v>783</v>
      </c>
      <c r="B116" s="323">
        <f t="shared" ref="B116:F116" si="20">B93/$G$83</f>
        <v>23.220237849936883</v>
      </c>
      <c r="C116" s="323">
        <f t="shared" si="20"/>
        <v>18.087021</v>
      </c>
      <c r="D116" s="323">
        <f t="shared" si="20"/>
        <v>18.091557000000002</v>
      </c>
      <c r="E116" s="323">
        <f t="shared" si="20"/>
        <v>18.096254999999999</v>
      </c>
      <c r="F116" s="323">
        <f t="shared" si="20"/>
        <v>18.101119000000001</v>
      </c>
      <c r="Y116" s="14" t="s">
        <v>785</v>
      </c>
      <c r="Z116" s="323">
        <v>3.535291</v>
      </c>
      <c r="AA116" s="323">
        <v>3.535291</v>
      </c>
      <c r="AB116" s="323">
        <v>3.535291</v>
      </c>
    </row>
    <row r="117" spans="1:28" x14ac:dyDescent="0.35">
      <c r="A117" s="14" t="s">
        <v>998</v>
      </c>
      <c r="B117" s="323">
        <f t="shared" ref="B117:F117" si="21">B94/$G$83</f>
        <v>2.1927943906385092</v>
      </c>
      <c r="C117" s="323">
        <f t="shared" si="21"/>
        <v>2.1927940000000001</v>
      </c>
      <c r="D117" s="323">
        <f t="shared" si="21"/>
        <v>2.1927940000000001</v>
      </c>
      <c r="E117" s="323">
        <f t="shared" si="21"/>
        <v>2.1927940000000001</v>
      </c>
      <c r="F117" s="323">
        <f t="shared" si="21"/>
        <v>2.1927940000000001</v>
      </c>
      <c r="Y117" s="14" t="s">
        <v>795</v>
      </c>
      <c r="Z117" s="323">
        <v>1.9521980000000001</v>
      </c>
      <c r="AA117" s="323">
        <v>1.9521980000000001</v>
      </c>
      <c r="AB117" s="323">
        <v>1.9521980000000001</v>
      </c>
    </row>
    <row r="118" spans="1:28" x14ac:dyDescent="0.35">
      <c r="A118" s="14" t="s">
        <v>999</v>
      </c>
      <c r="B118" s="323">
        <f>B101/$G$83</f>
        <v>2.2157986722213567</v>
      </c>
      <c r="C118" s="323">
        <f>C101/$G$83</f>
        <v>2.2157990000000001</v>
      </c>
      <c r="D118" s="323">
        <f>D101/$G$83</f>
        <v>2.2157990000000001</v>
      </c>
      <c r="E118" s="323">
        <f>E101/$G$83</f>
        <v>2.2157990000000001</v>
      </c>
      <c r="F118" s="323">
        <f>F101/$G$83</f>
        <v>2.2157990000000001</v>
      </c>
      <c r="Y118" s="14" t="s">
        <v>786</v>
      </c>
      <c r="Z118" s="323">
        <v>4.5965009999999999</v>
      </c>
      <c r="AA118" s="323">
        <v>4.5965009999999999</v>
      </c>
      <c r="AB118" s="323">
        <v>4.5965009999999999</v>
      </c>
    </row>
    <row r="119" spans="1:28" x14ac:dyDescent="0.35">
      <c r="A119" s="14" t="s">
        <v>797</v>
      </c>
      <c r="B119" s="323">
        <f t="shared" ref="B119:F119" si="22">B95/$G$83</f>
        <v>15.947438099421422</v>
      </c>
      <c r="C119" s="323">
        <f t="shared" si="22"/>
        <v>12.111241</v>
      </c>
      <c r="D119" s="323">
        <f t="shared" si="22"/>
        <v>6.7354329999999996</v>
      </c>
      <c r="E119" s="323">
        <f t="shared" si="22"/>
        <v>6.7354329999999996</v>
      </c>
      <c r="F119" s="323">
        <f t="shared" si="22"/>
        <v>6.7354329999999996</v>
      </c>
      <c r="Y119" s="14" t="s">
        <v>997</v>
      </c>
      <c r="Z119" s="323">
        <v>7.6424950000000003</v>
      </c>
      <c r="AA119" s="323">
        <v>7.6424950000000003</v>
      </c>
      <c r="AB119" s="323">
        <v>7.6424950000000003</v>
      </c>
    </row>
    <row r="120" spans="1:28" x14ac:dyDescent="0.35">
      <c r="A120" s="14" t="s">
        <v>781</v>
      </c>
      <c r="B120" s="323">
        <f t="shared" ref="B120:F120" si="23">B96/$G$83</f>
        <v>2.4929773104489708</v>
      </c>
      <c r="C120" s="323">
        <f t="shared" si="23"/>
        <v>2.4929770000000002</v>
      </c>
      <c r="D120" s="323">
        <f t="shared" si="23"/>
        <v>2.4929770000000002</v>
      </c>
      <c r="E120" s="323">
        <f t="shared" si="23"/>
        <v>2.4929770000000002</v>
      </c>
      <c r="F120" s="323">
        <f t="shared" si="23"/>
        <v>2.4929770000000002</v>
      </c>
    </row>
    <row r="121" spans="1:28" x14ac:dyDescent="0.35">
      <c r="A121" s="14" t="s">
        <v>785</v>
      </c>
      <c r="B121" s="323">
        <f t="shared" ref="B121:F121" si="24">B97/$G$83</f>
        <v>3.5352906508669832</v>
      </c>
      <c r="C121" s="323">
        <f t="shared" si="24"/>
        <v>3.535291</v>
      </c>
      <c r="D121" s="323">
        <f t="shared" si="24"/>
        <v>3.535291</v>
      </c>
      <c r="E121" s="323">
        <f t="shared" si="24"/>
        <v>3.535291</v>
      </c>
      <c r="F121" s="323">
        <f t="shared" si="24"/>
        <v>3.535291</v>
      </c>
    </row>
    <row r="122" spans="1:28" x14ac:dyDescent="0.35">
      <c r="A122" s="14" t="s">
        <v>795</v>
      </c>
      <c r="B122" s="323">
        <f t="shared" ref="B122:F122" si="25">B98/$G$83</f>
        <v>13.618408168829827</v>
      </c>
      <c r="C122" s="323">
        <f t="shared" si="25"/>
        <v>1.9521980000000001</v>
      </c>
      <c r="D122" s="323">
        <f t="shared" si="25"/>
        <v>1.9521980000000001</v>
      </c>
      <c r="E122" s="323">
        <f t="shared" si="25"/>
        <v>1.9521980000000001</v>
      </c>
      <c r="F122" s="323">
        <f t="shared" si="25"/>
        <v>1.9521980000000001</v>
      </c>
    </row>
    <row r="123" spans="1:28" x14ac:dyDescent="0.35">
      <c r="A123" s="14" t="s">
        <v>786</v>
      </c>
      <c r="B123" s="323">
        <f t="shared" ref="B123:F123" si="26">B99/$G$83</f>
        <v>4.5965012292122385</v>
      </c>
      <c r="C123" s="323">
        <f t="shared" si="26"/>
        <v>4.5965009999999999</v>
      </c>
      <c r="D123" s="323">
        <f t="shared" si="26"/>
        <v>4.5965009999999999</v>
      </c>
      <c r="E123" s="323">
        <f t="shared" si="26"/>
        <v>4.5965009999999999</v>
      </c>
      <c r="F123" s="323">
        <f t="shared" si="26"/>
        <v>4.5965009999999999</v>
      </c>
    </row>
    <row r="124" spans="1:28" x14ac:dyDescent="0.35">
      <c r="A124" s="14" t="s">
        <v>997</v>
      </c>
      <c r="B124" s="323">
        <f t="shared" ref="B124:F124" si="27">B100/$G$83</f>
        <v>7.6424950595327488</v>
      </c>
      <c r="C124" s="323">
        <f t="shared" si="27"/>
        <v>7.6424950000000003</v>
      </c>
      <c r="D124" s="323">
        <f t="shared" si="27"/>
        <v>7.6424950000000003</v>
      </c>
      <c r="E124" s="323">
        <f t="shared" si="27"/>
        <v>7.6424950000000003</v>
      </c>
      <c r="F124" s="323">
        <f t="shared" si="27"/>
        <v>7.6424950000000003</v>
      </c>
    </row>
    <row r="128" spans="1:28" x14ac:dyDescent="0.35">
      <c r="A128" s="424" t="s">
        <v>9</v>
      </c>
      <c r="B128" s="419" t="s">
        <v>1001</v>
      </c>
      <c r="C128" s="426" t="s">
        <v>1000</v>
      </c>
      <c r="D128" s="428"/>
      <c r="E128" s="428"/>
      <c r="F128" s="429"/>
    </row>
    <row r="129" spans="1:6" x14ac:dyDescent="0.35">
      <c r="A129" s="425"/>
      <c r="B129" s="420"/>
      <c r="C129" s="324">
        <v>2026</v>
      </c>
      <c r="D129" s="322">
        <v>2027</v>
      </c>
      <c r="E129" s="322">
        <v>2028</v>
      </c>
      <c r="F129" s="322">
        <v>2029</v>
      </c>
    </row>
    <row r="130" spans="1:6" x14ac:dyDescent="0.35">
      <c r="A130" s="14" t="s">
        <v>775</v>
      </c>
      <c r="B130" s="323">
        <v>1.2718390672337034</v>
      </c>
      <c r="C130" s="323">
        <v>1.2718389999999999</v>
      </c>
      <c r="D130" s="323">
        <v>1.2718389999999999</v>
      </c>
      <c r="E130" s="323">
        <v>1.2718389999999999</v>
      </c>
      <c r="F130" s="323">
        <v>1.2718389999999999</v>
      </c>
    </row>
    <row r="131" spans="1:6" x14ac:dyDescent="0.35">
      <c r="A131" s="14" t="s">
        <v>793</v>
      </c>
      <c r="B131" s="323">
        <v>1.4915182369331916</v>
      </c>
      <c r="C131" s="323">
        <v>1.2764690000000001</v>
      </c>
      <c r="D131" s="323">
        <v>1.656353</v>
      </c>
      <c r="E131" s="323">
        <v>2.036238</v>
      </c>
      <c r="F131" s="323">
        <v>2.036238</v>
      </c>
    </row>
    <row r="132" spans="1:6" x14ac:dyDescent="0.35">
      <c r="A132" s="14" t="s">
        <v>996</v>
      </c>
      <c r="B132" s="323">
        <v>0.44779485017662995</v>
      </c>
      <c r="C132" s="323">
        <v>0.22389800000000001</v>
      </c>
      <c r="D132" s="323">
        <v>0.22389800000000001</v>
      </c>
      <c r="E132" s="323">
        <v>0.22389800000000001</v>
      </c>
      <c r="F132" s="323">
        <v>0.22389800000000001</v>
      </c>
    </row>
    <row r="133" spans="1:6" x14ac:dyDescent="0.35">
      <c r="A133" s="14" t="s">
        <v>772</v>
      </c>
      <c r="B133" s="323">
        <v>0.43919853702815337</v>
      </c>
      <c r="C133" s="323">
        <v>0.43919900000000001</v>
      </c>
      <c r="D133" s="323">
        <v>0.43919900000000001</v>
      </c>
      <c r="E133" s="323">
        <v>0.43919900000000001</v>
      </c>
      <c r="F133" s="323">
        <v>0.43919900000000001</v>
      </c>
    </row>
    <row r="134" spans="1:6" x14ac:dyDescent="0.35">
      <c r="A134" s="14" t="s">
        <v>777</v>
      </c>
      <c r="B134" s="323">
        <v>3.8360467504088116</v>
      </c>
      <c r="C134" s="323">
        <v>3.8360470000000002</v>
      </c>
      <c r="D134" s="323">
        <v>3.8360470000000002</v>
      </c>
      <c r="E134" s="323">
        <v>3.8360470000000002</v>
      </c>
      <c r="F134" s="323">
        <v>3.5298039999999999</v>
      </c>
    </row>
    <row r="135" spans="1:6" x14ac:dyDescent="0.35">
      <c r="A135" s="14" t="s">
        <v>790</v>
      </c>
      <c r="B135" s="323">
        <v>9.5521582816634591</v>
      </c>
      <c r="C135" s="323">
        <v>9.5521580000000004</v>
      </c>
      <c r="D135" s="323">
        <v>9.5521580000000004</v>
      </c>
      <c r="E135" s="323">
        <v>9.5521580000000004</v>
      </c>
      <c r="F135" s="323">
        <v>9.5521580000000004</v>
      </c>
    </row>
    <row r="136" spans="1:6" x14ac:dyDescent="0.35">
      <c r="A136" s="14" t="s">
        <v>779</v>
      </c>
      <c r="B136" s="323">
        <v>17.108349689786596</v>
      </c>
      <c r="C136" s="323">
        <v>17.108350000000002</v>
      </c>
      <c r="D136" s="323">
        <v>17.108350000000002</v>
      </c>
      <c r="E136" s="323">
        <v>17.108350000000002</v>
      </c>
      <c r="F136" s="323">
        <v>17.108350000000002</v>
      </c>
    </row>
    <row r="137" spans="1:6" x14ac:dyDescent="0.35">
      <c r="A137" s="14" t="s">
        <v>788</v>
      </c>
      <c r="B137" s="323">
        <v>0.52127533362444178</v>
      </c>
      <c r="C137" s="323">
        <v>0.52127500000000004</v>
      </c>
      <c r="D137" s="323">
        <v>0.52127500000000004</v>
      </c>
      <c r="E137" s="323">
        <v>0.52127500000000004</v>
      </c>
      <c r="F137" s="323">
        <v>0.52127500000000004</v>
      </c>
    </row>
    <row r="138" spans="1:6" x14ac:dyDescent="0.35">
      <c r="A138" s="14" t="s">
        <v>773</v>
      </c>
      <c r="B138" s="323">
        <v>22.389504795674725</v>
      </c>
      <c r="C138" s="323">
        <v>8.0810469999999999</v>
      </c>
      <c r="D138" s="323">
        <v>7.9188510000000001</v>
      </c>
      <c r="E138" s="323">
        <v>7.9188510000000001</v>
      </c>
      <c r="F138" s="323">
        <v>7.9188510000000001</v>
      </c>
    </row>
    <row r="139" spans="1:6" x14ac:dyDescent="0.35">
      <c r="A139" s="14" t="s">
        <v>791</v>
      </c>
      <c r="B139" s="323">
        <v>7.4803730263613479</v>
      </c>
      <c r="C139" s="323">
        <v>6.9893455379999994</v>
      </c>
      <c r="D139" s="323">
        <v>6.9893455379999994</v>
      </c>
      <c r="E139" s="323">
        <v>6.9893455379999994</v>
      </c>
      <c r="F139" s="323">
        <v>6.9893455379999994</v>
      </c>
    </row>
    <row r="140" spans="1:6" x14ac:dyDescent="0.35">
      <c r="A140" s="14" t="s">
        <v>783</v>
      </c>
      <c r="B140" s="323">
        <v>23.220237849936883</v>
      </c>
      <c r="C140" s="323">
        <v>18.087021</v>
      </c>
      <c r="D140" s="323">
        <v>18.091557000000002</v>
      </c>
      <c r="E140" s="323">
        <v>18.096254999999999</v>
      </c>
      <c r="F140" s="323">
        <v>18.101119000000001</v>
      </c>
    </row>
    <row r="141" spans="1:6" x14ac:dyDescent="0.35">
      <c r="A141" s="14" t="s">
        <v>998</v>
      </c>
      <c r="B141" s="323">
        <v>2.1927943906385092</v>
      </c>
      <c r="C141" s="323">
        <v>2.1927940000000001</v>
      </c>
      <c r="D141" s="323">
        <v>2.1927940000000001</v>
      </c>
      <c r="E141" s="323">
        <v>2.1927940000000001</v>
      </c>
      <c r="F141" s="323">
        <v>2.1927940000000001</v>
      </c>
    </row>
    <row r="142" spans="1:6" x14ac:dyDescent="0.35">
      <c r="A142" s="14" t="s">
        <v>999</v>
      </c>
      <c r="B142" s="323">
        <v>2.2157986722213567</v>
      </c>
      <c r="C142" s="323">
        <v>2.2157990000000001</v>
      </c>
      <c r="D142" s="323">
        <v>2.2157990000000001</v>
      </c>
      <c r="E142" s="323">
        <v>2.2157990000000001</v>
      </c>
      <c r="F142" s="323">
        <v>2.2157990000000001</v>
      </c>
    </row>
    <row r="143" spans="1:6" x14ac:dyDescent="0.35">
      <c r="A143" s="14" t="s">
        <v>797</v>
      </c>
      <c r="B143" s="323">
        <v>15.947438099421422</v>
      </c>
      <c r="C143" s="323">
        <v>12.111241</v>
      </c>
      <c r="D143" s="323">
        <v>6.7354329999999996</v>
      </c>
      <c r="E143" s="323">
        <v>6.7354329999999996</v>
      </c>
      <c r="F143" s="323">
        <v>6.7354329999999996</v>
      </c>
    </row>
    <row r="144" spans="1:6" x14ac:dyDescent="0.35">
      <c r="A144" s="14" t="s">
        <v>781</v>
      </c>
      <c r="B144" s="323">
        <v>2.4929773104489708</v>
      </c>
      <c r="C144" s="323">
        <v>2.4929770000000002</v>
      </c>
      <c r="D144" s="323">
        <v>2.4929770000000002</v>
      </c>
      <c r="E144" s="323">
        <v>2.4929770000000002</v>
      </c>
      <c r="F144" s="323">
        <v>2.4929770000000002</v>
      </c>
    </row>
    <row r="145" spans="1:6" x14ac:dyDescent="0.35">
      <c r="A145" s="14" t="s">
        <v>785</v>
      </c>
      <c r="B145" s="323">
        <v>3.5352906508669832</v>
      </c>
      <c r="C145" s="323">
        <v>3.535291</v>
      </c>
      <c r="D145" s="323">
        <v>3.535291</v>
      </c>
      <c r="E145" s="323">
        <v>3.535291</v>
      </c>
      <c r="F145" s="323">
        <v>3.535291</v>
      </c>
    </row>
    <row r="146" spans="1:6" x14ac:dyDescent="0.35">
      <c r="A146" s="14" t="s">
        <v>795</v>
      </c>
      <c r="B146" s="323">
        <v>13.618408168829827</v>
      </c>
      <c r="C146" s="323">
        <v>1.9521980000000001</v>
      </c>
      <c r="D146" s="323">
        <v>1.9521980000000001</v>
      </c>
      <c r="E146" s="323">
        <v>1.9521980000000001</v>
      </c>
      <c r="F146" s="323">
        <v>1.9521980000000001</v>
      </c>
    </row>
    <row r="147" spans="1:6" x14ac:dyDescent="0.35">
      <c r="A147" s="14" t="s">
        <v>786</v>
      </c>
      <c r="B147" s="323">
        <v>4.5965012292122385</v>
      </c>
      <c r="C147" s="323">
        <v>4.5965009999999999</v>
      </c>
      <c r="D147" s="323">
        <v>4.5965009999999999</v>
      </c>
      <c r="E147" s="323">
        <v>4.5965009999999999</v>
      </c>
      <c r="F147" s="323">
        <v>4.5965009999999999</v>
      </c>
    </row>
    <row r="148" spans="1:6" x14ac:dyDescent="0.35">
      <c r="A148" s="14" t="s">
        <v>997</v>
      </c>
      <c r="B148" s="323">
        <v>7.6424950595327488</v>
      </c>
      <c r="C148" s="323">
        <v>7.6424950000000003</v>
      </c>
      <c r="D148" s="323">
        <v>7.6424950000000003</v>
      </c>
      <c r="E148" s="323">
        <v>7.6424950000000003</v>
      </c>
      <c r="F148" s="323">
        <v>7.6424950000000003</v>
      </c>
    </row>
    <row r="149" spans="1:6" x14ac:dyDescent="0.35">
      <c r="B149" s="189">
        <f>SUM(B130:B148)</f>
        <v>140</v>
      </c>
      <c r="C149" s="189">
        <f t="shared" ref="C149:F149" si="28">SUM(C130:C148)</f>
        <v>104.125944538</v>
      </c>
      <c r="D149" s="189">
        <f t="shared" si="28"/>
        <v>98.972360538000018</v>
      </c>
      <c r="E149" s="189">
        <f t="shared" si="28"/>
        <v>99.35694353800001</v>
      </c>
      <c r="F149" s="189">
        <f t="shared" si="28"/>
        <v>99.055564538000013</v>
      </c>
    </row>
  </sheetData>
  <mergeCells count="38">
    <mergeCell ref="H2:H3"/>
    <mergeCell ref="A57:B57"/>
    <mergeCell ref="A1:G1"/>
    <mergeCell ref="A2:A3"/>
    <mergeCell ref="B2:B3"/>
    <mergeCell ref="C2:F2"/>
    <mergeCell ref="G2:G3"/>
    <mergeCell ref="H43:H46"/>
    <mergeCell ref="A53:B54"/>
    <mergeCell ref="C53:F53"/>
    <mergeCell ref="A55:B55"/>
    <mergeCell ref="A56:B56"/>
    <mergeCell ref="A71:B71"/>
    <mergeCell ref="A58:B58"/>
    <mergeCell ref="A59:B59"/>
    <mergeCell ref="A60:B60"/>
    <mergeCell ref="A61:B61"/>
    <mergeCell ref="A62:B62"/>
    <mergeCell ref="A65:B65"/>
    <mergeCell ref="A66:B66"/>
    <mergeCell ref="A67:B67"/>
    <mergeCell ref="A68:B68"/>
    <mergeCell ref="A69:B69"/>
    <mergeCell ref="A70:B70"/>
    <mergeCell ref="A128:A129"/>
    <mergeCell ref="B128:B129"/>
    <mergeCell ref="C128:F128"/>
    <mergeCell ref="A72:B72"/>
    <mergeCell ref="A73:B73"/>
    <mergeCell ref="A74:B74"/>
    <mergeCell ref="A81:A82"/>
    <mergeCell ref="B81:B82"/>
    <mergeCell ref="C81:F81"/>
    <mergeCell ref="Y99:Y100"/>
    <mergeCell ref="Z99:AB99"/>
    <mergeCell ref="A104:A105"/>
    <mergeCell ref="B104:B105"/>
    <mergeCell ref="C104:C105"/>
  </mergeCells>
  <pageMargins left="0.54" right="0.46" top="0.25" bottom="0.28000000000000003" header="0.3" footer="0.28000000000000003"/>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86B9-E819-4454-A85F-EAE8501BD8FA}">
  <sheetPr>
    <pageSetUpPr fitToPage="1"/>
  </sheetPr>
  <dimension ref="A1:R906"/>
  <sheetViews>
    <sheetView zoomScale="70" zoomScaleNormal="70" workbookViewId="0">
      <pane ySplit="3" topLeftCell="A68" activePane="bottomLeft" state="frozen"/>
      <selection pane="bottomLeft" activeCell="H8" sqref="H8:I8"/>
    </sheetView>
  </sheetViews>
  <sheetFormatPr defaultColWidth="9.1796875" defaultRowHeight="13" outlineLevelRow="1" x14ac:dyDescent="0.3"/>
  <cols>
    <col min="1" max="1" width="6.81640625" style="38" bestFit="1" customWidth="1"/>
    <col min="2" max="2" width="16.81640625" style="38" customWidth="1"/>
    <col min="3" max="3" width="34.7265625" style="23" customWidth="1"/>
    <col min="4" max="4" width="30" style="23" customWidth="1"/>
    <col min="5" max="5" width="18.81640625" style="23" customWidth="1"/>
    <col min="6" max="6" width="14" style="100" customWidth="1"/>
    <col min="7" max="9" width="12.81640625" style="100" customWidth="1"/>
    <col min="10" max="10" width="31.81640625" style="148" customWidth="1"/>
    <col min="11" max="11" width="19.453125" style="228" customWidth="1"/>
    <col min="12" max="12" width="14.54296875" style="38" customWidth="1"/>
    <col min="13" max="13" width="97.26953125" style="148" customWidth="1"/>
    <col min="14" max="16384" width="9.1796875" style="23"/>
  </cols>
  <sheetData>
    <row r="1" spans="1:13" ht="17.5" x14ac:dyDescent="0.3">
      <c r="A1" s="469" t="s">
        <v>78</v>
      </c>
      <c r="B1" s="469"/>
      <c r="C1" s="469"/>
      <c r="D1" s="469"/>
      <c r="E1" s="469"/>
      <c r="F1" s="469"/>
      <c r="G1" s="469"/>
      <c r="H1" s="469"/>
      <c r="I1" s="469"/>
      <c r="J1" s="469"/>
      <c r="K1" s="469"/>
      <c r="L1" s="469"/>
      <c r="M1" s="469"/>
    </row>
    <row r="2" spans="1:13" ht="13.5" x14ac:dyDescent="0.3">
      <c r="A2" s="470" t="s">
        <v>79</v>
      </c>
      <c r="B2" s="470" t="s">
        <v>80</v>
      </c>
      <c r="C2" s="470" t="s">
        <v>81</v>
      </c>
      <c r="D2" s="472" t="s">
        <v>82</v>
      </c>
      <c r="E2" s="472" t="s">
        <v>83</v>
      </c>
      <c r="F2" s="474" t="s">
        <v>84</v>
      </c>
      <c r="G2" s="474"/>
      <c r="H2" s="474"/>
      <c r="I2" s="474"/>
      <c r="J2" s="472" t="s">
        <v>85</v>
      </c>
      <c r="K2" s="222"/>
      <c r="L2" s="204"/>
      <c r="M2" s="470" t="s">
        <v>86</v>
      </c>
    </row>
    <row r="3" spans="1:13" ht="54.65" customHeight="1" x14ac:dyDescent="0.3">
      <c r="A3" s="471"/>
      <c r="B3" s="471"/>
      <c r="C3" s="471"/>
      <c r="D3" s="473"/>
      <c r="E3" s="473"/>
      <c r="F3" s="150">
        <v>2026</v>
      </c>
      <c r="G3" s="150">
        <v>2027</v>
      </c>
      <c r="H3" s="150">
        <v>2028</v>
      </c>
      <c r="I3" s="150">
        <v>2029</v>
      </c>
      <c r="J3" s="473"/>
      <c r="K3" s="223" t="s">
        <v>87</v>
      </c>
      <c r="L3" s="205" t="s">
        <v>88</v>
      </c>
      <c r="M3" s="471"/>
    </row>
    <row r="4" spans="1:13" x14ac:dyDescent="0.3">
      <c r="A4" s="457" t="s">
        <v>89</v>
      </c>
      <c r="B4" s="458"/>
      <c r="C4" s="458"/>
      <c r="D4" s="458"/>
      <c r="E4" s="459"/>
      <c r="F4" s="39">
        <f>F14+F34+F43+F54+F68+F89+F113+F175+F191+F213+F260+F277+F297+F304+F326+F332+F384+F430+F395</f>
        <v>104616971.538</v>
      </c>
      <c r="G4" s="39">
        <f>G14+G34+G43+G54+G68+G89+G113+G175+G191+G213+G260+G277+G297+G304+G326+G332+G384+G430+G395</f>
        <v>99463387.538000003</v>
      </c>
      <c r="H4" s="39">
        <f>H14+H34+H43+H54+H68+H89+H113+H175+H191+H213+H260+H277+H297+H304+H326+H332+H384+H430+H395</f>
        <v>99847970.538000003</v>
      </c>
      <c r="I4" s="39">
        <f>I14+I34+I43+I54+I68+I89+I113+I175+I191+I213+I260+I277+I297+I304+I326+I332+I384+I430+I395</f>
        <v>99546591.538000003</v>
      </c>
      <c r="J4" s="141"/>
      <c r="K4" s="224"/>
      <c r="L4" s="215"/>
      <c r="M4" s="142"/>
    </row>
    <row r="5" spans="1:13" x14ac:dyDescent="0.3">
      <c r="A5" s="460" t="s">
        <v>90</v>
      </c>
      <c r="B5" s="461"/>
      <c r="C5" s="461"/>
      <c r="D5" s="461"/>
      <c r="E5" s="462"/>
      <c r="F5" s="149">
        <f>F15+F35+F44+F55+F69+F90+F114+F176+F192+F214+F261+F278+F298+F305+F327+F333+F385+F431+F396</f>
        <v>139999999.70538411</v>
      </c>
      <c r="G5" s="149"/>
      <c r="H5" s="149"/>
      <c r="I5" s="149"/>
      <c r="J5" s="143"/>
      <c r="K5" s="225"/>
      <c r="L5" s="216"/>
      <c r="M5" s="144"/>
    </row>
    <row r="6" spans="1:13" x14ac:dyDescent="0.3">
      <c r="A6" s="463" t="s">
        <v>91</v>
      </c>
      <c r="B6" s="464"/>
      <c r="C6" s="464"/>
      <c r="D6" s="464"/>
      <c r="E6" s="465"/>
      <c r="F6" s="149">
        <f>F16+F36+F45+F56+F70+F91+F115+F177+F193+F215+F262+F279+F299+F306+F328+F334+F386+F432+F397</f>
        <v>35383028.167384103</v>
      </c>
      <c r="G6" s="149"/>
      <c r="H6" s="149"/>
      <c r="I6" s="149"/>
      <c r="J6" s="143"/>
      <c r="K6" s="225"/>
      <c r="L6" s="216"/>
      <c r="M6" s="144"/>
    </row>
    <row r="7" spans="1:13" x14ac:dyDescent="0.3">
      <c r="A7" s="466" t="s">
        <v>65</v>
      </c>
      <c r="B7" s="467"/>
      <c r="C7" s="467"/>
      <c r="D7" s="467"/>
      <c r="E7" s="468"/>
      <c r="F7" s="246">
        <f>F26++F30+F31+F41+F82+F84+F85+F98+F99+F107+F109+F130+F133+F134+F135+F136+F137+F138+F159+F166+F182+F183+F184+F186+F189+F190+F206+F208+F210+F212+F221+F228+F236+F247+F257+F285+F289+F293+F296+F303+F313+F316+F318+F321+F323+F421+F422+F423+F424+F425+F426+F427+F428</f>
        <v>19428150</v>
      </c>
      <c r="G7" s="246">
        <f t="shared" ref="G7:I7" si="0">G26++G30+G31+G41+G82+G84+G85+G98+G99+G107+G109+G130+G133+G134+G135+G136+G137+G138+G159+G166+G182+G183+G184+G186+G189+G190+G206+G208+G210+G212+G221+G228+G236+G247+G257+G285+G289+G293+G296+G303+G313+G316+G318+G321+G323+G421+G422+G423+G424+G425+G426+G427+G428</f>
        <v>19040414</v>
      </c>
      <c r="H7" s="246">
        <f t="shared" si="0"/>
        <v>19463942</v>
      </c>
      <c r="I7" s="246">
        <f t="shared" si="0"/>
        <v>19558452</v>
      </c>
      <c r="J7" s="236"/>
      <c r="K7" s="237"/>
      <c r="L7" s="238"/>
      <c r="M7" s="239"/>
    </row>
    <row r="8" spans="1:13" x14ac:dyDescent="0.3">
      <c r="A8" s="466" t="s">
        <v>66</v>
      </c>
      <c r="B8" s="467"/>
      <c r="C8" s="467"/>
      <c r="D8" s="467"/>
      <c r="E8" s="468"/>
      <c r="F8" s="246">
        <f>F21+F22+F23+F25+F27+F29+F32+F33+F42+F48+F50+F51+F52+F59+F60+F61+F62+F63+F64+F66+F67+F79+F83+F86+F100+F102+F105+F108+F110+F120+F121+F122+F123+F124+F125+F126+F127+F131+F139+F140+F141+F142+F143+F144+F145+F146+F152+F153+F154+F155+F156+F157+F160+F161+F162+F163+F167+F168+F169+F170+F171+F172+F181+F188+F198+F204+F207+F209+F211+F222+F229+F231+F237+F248+F249+F250+F251+F252+F253+F254+F255+F258+F267+F273+F274+F286+F290+F294+F312+F314+F315+F317+F319+F330+F331+F344+F347+F349+F352+F357+F358+F362+F363+F364+F366+F369+F382+F390+F391+F393+F403+F405+F406+F407+F408+F409+F410+F412+F414+F415+F416+F420</f>
        <v>20019481</v>
      </c>
      <c r="G8" s="246">
        <f>G21+G22+G23+G25+G27+G29+G32+G33+G42+G48+G50+G51+G52+G59+G60+G61+G62+G63+G64+G66+G67+G79+G83+G86+G100+G102+G105+G108+G110+G120+G121+G122+G123+G124+G125+G126+G127+G131+G139+G140+G141+G142+G143+G144+G145+G146+G152+G153+G154+G155+G156+G157+G160+G161+G162+G163+G167+G168+G169+G170+G171+G172+G181+G188+G198+G204+G207+G209+G211+G222+G229+G231+G237+G248+G249+G250+G251+G252+G253+G254+G255+G258+G267+G273+G274+G286+G290+G294+G312+G314+G315+G317+G319+G330+G331+G344+G347+G349+G352+G357+G358+G362+G363+G364+G366+G369+G382+G390+G391+G393+G403+G405+G406+G407+G408+G409+G410+G412+G414+G415+G416+G420</f>
        <v>17116864</v>
      </c>
      <c r="H8" s="246">
        <f>H21+H22+H23+H25+H27+H29+H32+H33+H42+H48+H50+H51+H52+H59+H60+H61+H62+H63+H64+H66+H67+H79+H83+H86+H100+H102+H105+H108+H110+H120+H121+H122+H123+H124+H125+H126+H127+H131+H139+H140+H141+H142+H143+H144+H145+H146+H152+H153+H154+H155+H156+H157+H160+H161+H162+H163+H167+H168+H169+H170+H171+H172+H181+H188+H198+H204+H207+H209+H211+H222+H229+H231+H237+H248+H249+H250+H251+H252+H253+H254+H255+H258+H267+H273+H274+H286+H290+H294+H312+H314+H315+H317+H319+H330+H331+H344+H347+H349+H352+H357+H358+H362+H363+H364+H366+H369+H382+H390+H391+H393+H403+H405+H406+H407+H408+H409+H410+H412+H414+H415+H416+H420</f>
        <v>16895694</v>
      </c>
      <c r="I8" s="246">
        <f>I21+I22+I23+I25+I27+I29+I32+I33+I42+I48+I50+I51+I52+I59+I60+I61+I62+I63+I64+I66+I67+I79+I83+I86+I100+I102+I105+I108+I110+I120+I121+I122+I123+I124+I125+I126+I127+I131+I139+I140+I141+I142+I143+I144+I145+I146+I152+I153+I154+I155+I156+I157+I160+I161+I162+I163+I167+I168+I169+I170+I171+I172+I181+I188+I198+I204+I207+I209+I211+I222+I229+I231+I237+I248+I249+I250+I251+I252+I253+I254+I255+I258+I267+I273+I274+I286+I290+I294+I312+I314+I315+I317+I319+I330+I331+I344+I347+I349+I352+I357+I358+I362+I363+I364+I366+I369+I382+I390+I391+I393+I403+I405+I406+I407+I408+I409+I410+I412+I414+I415+I416+I420</f>
        <v>16814791</v>
      </c>
      <c r="J8" s="236"/>
      <c r="K8" s="237"/>
      <c r="L8" s="238"/>
      <c r="M8" s="239"/>
    </row>
    <row r="9" spans="1:13" x14ac:dyDescent="0.3">
      <c r="A9" s="466" t="s">
        <v>67</v>
      </c>
      <c r="B9" s="467"/>
      <c r="C9" s="467"/>
      <c r="D9" s="467"/>
      <c r="E9" s="468"/>
      <c r="F9" s="246">
        <f>F28+F40+F49+F53+F78+F80+F97+F101+F103+F111+F112+F165+F205+F227+F234+F235+F239+F240+F244+F245+F246+F320+F324+F341+F272+F353+F361+F370+F394+F413+F417+F418+F419+F434+F435+F436</f>
        <v>22727719</v>
      </c>
      <c r="G9" s="246">
        <f>G28+G40+G49+G53+G78+G80+G97+G101+G103+G111+G112+G165+G205+G227+G234+G235+G239+G240+G244+G245+G246+G320+G324+G341+G272+G353+G361+G370+G394+G413+G417+G418+G419+G434+G435+G436</f>
        <v>26701566</v>
      </c>
      <c r="H9" s="246">
        <f>H28+H40+H49+H53+H78+H80+H97+H101+H103+H111+H112+H165+H205+H227+H234+H235+H239+H240+H244+H245+H246+H320+H324+H341+H272+H353+H361+H370+H394+H413+H417+H418+H419+H434+H435+H436</f>
        <v>27081451</v>
      </c>
      <c r="I9" s="246">
        <f>I28+I40+I49+I53+I78+I80+I97+I101+I103+I111+I112+I165+I205+I227+I234+I235+I239+I240+I244+I245+I246+I320+I324+I341+I272+I353+I361+I370+I394+I413+I417+I418+I419+I434+I435+I436</f>
        <v>27081451</v>
      </c>
      <c r="J9" s="236"/>
      <c r="K9" s="237"/>
      <c r="L9" s="238"/>
      <c r="M9" s="239"/>
    </row>
    <row r="10" spans="1:13" x14ac:dyDescent="0.3">
      <c r="A10" s="466" t="s">
        <v>68</v>
      </c>
      <c r="B10" s="467"/>
      <c r="C10" s="467"/>
      <c r="D10" s="467"/>
      <c r="E10" s="468"/>
      <c r="F10" s="246">
        <f>F24+F87+F104+F128+F129+F132+F147+F148+F149+F150+F151+F158+F164+F173+F174+F185+F187+F223+F230+F232+F238+F256+F268+F269+F287+F291+F295+F325+F345+F346+F348+F351+F376+F377+F378+F379+F380+F381+F404+F411</f>
        <v>19151516</v>
      </c>
      <c r="G10" s="246">
        <f>G24+G87+G104+G128+G129+G132+G147+G148+G149+G150+G151+G158+G164+G173+G174+G185+G187+G223+G230+G232+G238+G256+G268+G269+G287+G291+G295+G325+G345+G346+G348+G351+G376+G377+G378+G379+G380+G381+G404+G411</f>
        <v>13197820</v>
      </c>
      <c r="H10" s="246">
        <f>H24+H87+H104+H128+H129+H132+H147+H148+H149+H150+H151+H158+H164+H173+H174+H185+H187+H223+H230+H232+H238+H256+H268+H269+H287+H291+H295+H325+H345+H346+H348+H351+H376+H377+H378+H379+H380+H381+H404+H411</f>
        <v>13541351</v>
      </c>
      <c r="I10" s="246">
        <f>I24+I87+I104+I128+I129+I132+I147+I148+I149+I150+I151+I158+I164+I173+I174+I185+I187+I223+I230+I232+I238+I256+I268+I269+I287+I291+I295+I325+I345+I346+I348+I351+I376+I377+I378+I379+I380+I381+I404+I411</f>
        <v>13672372</v>
      </c>
      <c r="J10" s="236"/>
      <c r="K10" s="237"/>
      <c r="L10" s="238"/>
      <c r="M10" s="239"/>
    </row>
    <row r="11" spans="1:13" x14ac:dyDescent="0.3">
      <c r="A11" s="466" t="s">
        <v>69</v>
      </c>
      <c r="B11" s="467"/>
      <c r="C11" s="467"/>
      <c r="D11" s="467"/>
      <c r="E11" s="468"/>
      <c r="F11" s="246">
        <f>F88+F288+F302+F322+F350</f>
        <v>5514595</v>
      </c>
      <c r="G11" s="246">
        <f>G88+G288+G302+G322+G350</f>
        <v>7004111</v>
      </c>
      <c r="H11" s="246">
        <f>H88+H288+H302+H322+H350</f>
        <v>7004111</v>
      </c>
      <c r="I11" s="246">
        <f>I88+I288+I302+I322+I350</f>
        <v>7004111</v>
      </c>
      <c r="J11" s="236"/>
      <c r="K11" s="237"/>
      <c r="L11" s="238"/>
      <c r="M11" s="239"/>
    </row>
    <row r="12" spans="1:13" x14ac:dyDescent="0.3">
      <c r="A12" s="466" t="s">
        <v>70</v>
      </c>
      <c r="B12" s="467"/>
      <c r="C12" s="467"/>
      <c r="D12" s="467"/>
      <c r="E12" s="468"/>
      <c r="F12" s="246">
        <f>F65+F77+F81+F106+F199+F200+F201+F202+F203+F224+F225+F226+F233+F241+F242+F243+F259+F292+F342+F343+F354+F355+F356+F359+F360+F367+F368+F371+F373+F375+F383+F392+F429</f>
        <v>9544006.5379999988</v>
      </c>
      <c r="G12" s="246">
        <f t="shared" ref="G12:I12" si="1">G65+G77+G81+G106+G199+G200+G201+G202+G203+G224+G225+G226+G233+G241+G242+G243+G259+G292+G342+G343+G354+G355+G356+G359+G360+G367+G368+G371+G373+G375+G383+G392+G429</f>
        <v>8171108.5379999997</v>
      </c>
      <c r="H12" s="246">
        <f t="shared" si="1"/>
        <v>7629917.5379999997</v>
      </c>
      <c r="I12" s="246">
        <f t="shared" si="1"/>
        <v>7183910.5379999997</v>
      </c>
      <c r="J12" s="236"/>
      <c r="K12" s="237"/>
      <c r="L12" s="238"/>
      <c r="M12" s="239"/>
    </row>
    <row r="13" spans="1:13" x14ac:dyDescent="0.3">
      <c r="A13" s="466" t="s">
        <v>71</v>
      </c>
      <c r="B13" s="467"/>
      <c r="C13" s="467"/>
      <c r="D13" s="467"/>
      <c r="E13" s="468"/>
      <c r="F13" s="246">
        <f>F270+F271+F365+F372+F374</f>
        <v>8231504</v>
      </c>
      <c r="G13" s="246">
        <f>G270+G271+G365+G372+G374</f>
        <v>8231504</v>
      </c>
      <c r="H13" s="246">
        <f>H270+H271+H365+H372+H374</f>
        <v>8231504</v>
      </c>
      <c r="I13" s="246">
        <f>I270+I271+I365+I372+I374</f>
        <v>8231504</v>
      </c>
      <c r="J13" s="236"/>
      <c r="K13" s="237"/>
      <c r="L13" s="238"/>
      <c r="M13" s="239"/>
    </row>
    <row r="14" spans="1:13" x14ac:dyDescent="0.3">
      <c r="A14" s="457" t="s">
        <v>92</v>
      </c>
      <c r="B14" s="458"/>
      <c r="C14" s="458"/>
      <c r="D14" s="458"/>
      <c r="E14" s="459"/>
      <c r="F14" s="43">
        <f>SUM(F21:F33)</f>
        <v>1271839</v>
      </c>
      <c r="G14" s="43">
        <f>SUM(G21:G33)</f>
        <v>1271839</v>
      </c>
      <c r="H14" s="43">
        <f t="shared" ref="H14:I14" si="2">SUM(H21:H33)</f>
        <v>1271839</v>
      </c>
      <c r="I14" s="43">
        <f t="shared" si="2"/>
        <v>1271839</v>
      </c>
      <c r="J14" s="141"/>
      <c r="K14" s="224"/>
      <c r="L14" s="217"/>
      <c r="M14" s="142"/>
    </row>
    <row r="15" spans="1:13" x14ac:dyDescent="0.3">
      <c r="A15" s="460" t="s">
        <v>93</v>
      </c>
      <c r="B15" s="461"/>
      <c r="C15" s="461"/>
      <c r="D15" s="461"/>
      <c r="E15" s="462"/>
      <c r="F15" s="40">
        <v>1271839</v>
      </c>
      <c r="G15" s="86"/>
      <c r="H15" s="86"/>
      <c r="I15" s="86"/>
      <c r="J15" s="143"/>
      <c r="K15" s="225"/>
      <c r="L15" s="216"/>
      <c r="M15" s="144"/>
    </row>
    <row r="16" spans="1:13" x14ac:dyDescent="0.3">
      <c r="A16" s="463" t="s">
        <v>94</v>
      </c>
      <c r="B16" s="464"/>
      <c r="C16" s="464"/>
      <c r="D16" s="464"/>
      <c r="E16" s="465"/>
      <c r="F16" s="42">
        <f>F15-F14</f>
        <v>0</v>
      </c>
      <c r="G16" s="87"/>
      <c r="H16" s="87"/>
      <c r="I16" s="87"/>
      <c r="J16" s="143"/>
      <c r="K16" s="225"/>
      <c r="L16" s="216"/>
      <c r="M16" s="144"/>
    </row>
    <row r="17" spans="1:13" x14ac:dyDescent="0.3">
      <c r="A17" s="475" t="s">
        <v>65</v>
      </c>
      <c r="B17" s="476"/>
      <c r="C17" s="476"/>
      <c r="D17" s="476"/>
      <c r="E17" s="477"/>
      <c r="F17" s="363">
        <f>F26+F30+F31</f>
        <v>535504</v>
      </c>
      <c r="G17" s="363">
        <f t="shared" ref="G17:I17" si="3">G26+G30+G31</f>
        <v>535504</v>
      </c>
      <c r="H17" s="363">
        <f t="shared" si="3"/>
        <v>535504</v>
      </c>
      <c r="I17" s="363">
        <f t="shared" si="3"/>
        <v>554609</v>
      </c>
      <c r="J17" s="327"/>
      <c r="K17" s="364"/>
      <c r="L17" s="365"/>
      <c r="M17" s="366"/>
    </row>
    <row r="18" spans="1:13" x14ac:dyDescent="0.3">
      <c r="A18" s="475" t="s">
        <v>66</v>
      </c>
      <c r="B18" s="476"/>
      <c r="C18" s="476"/>
      <c r="D18" s="476"/>
      <c r="E18" s="477"/>
      <c r="F18" s="363">
        <f>F21+F22+F23+F25+F27+F29+F32+F33</f>
        <v>719737</v>
      </c>
      <c r="G18" s="363">
        <f t="shared" ref="G18:I18" si="4">G21+G22+G23+G25+G27+G29+G32+G33</f>
        <v>614835</v>
      </c>
      <c r="H18" s="363">
        <f t="shared" si="4"/>
        <v>614835</v>
      </c>
      <c r="I18" s="363">
        <f t="shared" si="4"/>
        <v>545730</v>
      </c>
      <c r="J18" s="327"/>
      <c r="K18" s="364"/>
      <c r="L18" s="365"/>
      <c r="M18" s="366"/>
    </row>
    <row r="19" spans="1:13" x14ac:dyDescent="0.3">
      <c r="A19" s="475" t="s">
        <v>67</v>
      </c>
      <c r="B19" s="476"/>
      <c r="C19" s="476"/>
      <c r="D19" s="476"/>
      <c r="E19" s="477"/>
      <c r="F19" s="363">
        <f>F28</f>
        <v>0</v>
      </c>
      <c r="G19" s="363">
        <f t="shared" ref="G19:I19" si="5">G28</f>
        <v>100000</v>
      </c>
      <c r="H19" s="363">
        <f t="shared" si="5"/>
        <v>100000</v>
      </c>
      <c r="I19" s="363">
        <f t="shared" si="5"/>
        <v>100000</v>
      </c>
      <c r="J19" s="327"/>
      <c r="K19" s="364"/>
      <c r="L19" s="365"/>
      <c r="M19" s="366"/>
    </row>
    <row r="20" spans="1:13" x14ac:dyDescent="0.3">
      <c r="A20" s="475" t="s">
        <v>68</v>
      </c>
      <c r="B20" s="476"/>
      <c r="C20" s="476"/>
      <c r="D20" s="476"/>
      <c r="E20" s="477"/>
      <c r="F20" s="363">
        <f>F24</f>
        <v>16598</v>
      </c>
      <c r="G20" s="363">
        <f t="shared" ref="G20:I20" si="6">G24</f>
        <v>21500</v>
      </c>
      <c r="H20" s="363">
        <f t="shared" si="6"/>
        <v>21500</v>
      </c>
      <c r="I20" s="363">
        <f t="shared" si="6"/>
        <v>71500</v>
      </c>
      <c r="J20" s="327"/>
      <c r="K20" s="364"/>
      <c r="L20" s="365"/>
      <c r="M20" s="366"/>
    </row>
    <row r="21" spans="1:13" s="6" customFormat="1" ht="39" hidden="1" outlineLevel="1" x14ac:dyDescent="0.35">
      <c r="A21" s="7">
        <v>1</v>
      </c>
      <c r="B21" s="21" t="s">
        <v>16</v>
      </c>
      <c r="C21" s="5" t="s">
        <v>95</v>
      </c>
      <c r="D21" s="5" t="s">
        <v>96</v>
      </c>
      <c r="E21" s="2" t="s">
        <v>66</v>
      </c>
      <c r="F21" s="85">
        <v>200582</v>
      </c>
      <c r="G21" s="85">
        <v>200582</v>
      </c>
      <c r="H21" s="85">
        <v>200582</v>
      </c>
      <c r="I21" s="85">
        <v>210582</v>
      </c>
      <c r="J21" s="10"/>
      <c r="K21" s="308">
        <v>200582</v>
      </c>
      <c r="L21" s="309">
        <f t="shared" ref="L21:L33" si="7">F21/K21</f>
        <v>1</v>
      </c>
      <c r="M21" s="211" t="s">
        <v>97</v>
      </c>
    </row>
    <row r="22" spans="1:13" s="6" customFormat="1" ht="78" hidden="1" outlineLevel="1" x14ac:dyDescent="0.35">
      <c r="A22" s="7">
        <v>2</v>
      </c>
      <c r="B22" s="21" t="s">
        <v>16</v>
      </c>
      <c r="C22" s="5" t="s">
        <v>98</v>
      </c>
      <c r="D22" s="5" t="s">
        <v>96</v>
      </c>
      <c r="E22" s="2" t="s">
        <v>66</v>
      </c>
      <c r="F22" s="85">
        <v>55000</v>
      </c>
      <c r="G22" s="85">
        <v>55000</v>
      </c>
      <c r="H22" s="85">
        <v>55000</v>
      </c>
      <c r="I22" s="85">
        <v>60000</v>
      </c>
      <c r="J22" s="10"/>
      <c r="K22" s="308">
        <v>135000</v>
      </c>
      <c r="L22" s="309">
        <f t="shared" si="7"/>
        <v>0.40740740740740738</v>
      </c>
      <c r="M22" s="211" t="s">
        <v>963</v>
      </c>
    </row>
    <row r="23" spans="1:13" s="6" customFormat="1" ht="39" hidden="1" outlineLevel="1" x14ac:dyDescent="0.35">
      <c r="A23" s="7">
        <v>3</v>
      </c>
      <c r="B23" s="21" t="s">
        <v>16</v>
      </c>
      <c r="C23" s="5" t="s">
        <v>98</v>
      </c>
      <c r="D23" s="5" t="s">
        <v>96</v>
      </c>
      <c r="E23" s="2" t="s">
        <v>66</v>
      </c>
      <c r="F23" s="85">
        <v>57000</v>
      </c>
      <c r="G23" s="19">
        <v>0</v>
      </c>
      <c r="H23" s="19">
        <v>0</v>
      </c>
      <c r="I23" s="19">
        <v>0</v>
      </c>
      <c r="J23" s="5" t="s">
        <v>99</v>
      </c>
      <c r="K23" s="310">
        <v>57000</v>
      </c>
      <c r="L23" s="311">
        <f t="shared" si="7"/>
        <v>1</v>
      </c>
      <c r="M23" s="211" t="s">
        <v>100</v>
      </c>
    </row>
    <row r="24" spans="1:13" s="6" customFormat="1" ht="39" hidden="1" outlineLevel="1" x14ac:dyDescent="0.35">
      <c r="A24" s="7">
        <v>4</v>
      </c>
      <c r="B24" s="21" t="s">
        <v>16</v>
      </c>
      <c r="C24" s="5" t="s">
        <v>101</v>
      </c>
      <c r="D24" s="5" t="s">
        <v>96</v>
      </c>
      <c r="E24" s="2" t="s">
        <v>68</v>
      </c>
      <c r="F24" s="19">
        <v>16598</v>
      </c>
      <c r="G24" s="19">
        <v>21500</v>
      </c>
      <c r="H24" s="19">
        <v>21500</v>
      </c>
      <c r="I24" s="19">
        <v>71500</v>
      </c>
      <c r="J24" s="5" t="s">
        <v>99</v>
      </c>
      <c r="K24" s="310">
        <v>193000</v>
      </c>
      <c r="L24" s="311">
        <f t="shared" si="7"/>
        <v>8.5999999999999993E-2</v>
      </c>
      <c r="M24" s="211" t="s">
        <v>102</v>
      </c>
    </row>
    <row r="25" spans="1:13" s="6" customFormat="1" ht="91" hidden="1" outlineLevel="1" x14ac:dyDescent="0.35">
      <c r="A25" s="7">
        <v>5</v>
      </c>
      <c r="B25" s="21" t="s">
        <v>16</v>
      </c>
      <c r="C25" s="5" t="s">
        <v>103</v>
      </c>
      <c r="D25" s="5" t="s">
        <v>96</v>
      </c>
      <c r="E25" s="2" t="s">
        <v>66</v>
      </c>
      <c r="F25" s="85">
        <v>19945</v>
      </c>
      <c r="G25" s="19">
        <v>116275</v>
      </c>
      <c r="H25" s="19">
        <v>119846</v>
      </c>
      <c r="I25" s="19">
        <v>141051</v>
      </c>
      <c r="J25" s="5" t="s">
        <v>104</v>
      </c>
      <c r="K25" s="310">
        <v>325500</v>
      </c>
      <c r="L25" s="311">
        <f t="shared" si="7"/>
        <v>6.1274961597542241E-2</v>
      </c>
      <c r="M25" s="211" t="s">
        <v>965</v>
      </c>
    </row>
    <row r="26" spans="1:13" s="6" customFormat="1" ht="39" hidden="1" outlineLevel="1" x14ac:dyDescent="0.35">
      <c r="A26" s="7">
        <v>6</v>
      </c>
      <c r="B26" s="21" t="s">
        <v>16</v>
      </c>
      <c r="C26" s="5" t="s">
        <v>105</v>
      </c>
      <c r="D26" s="5" t="s">
        <v>96</v>
      </c>
      <c r="E26" s="5" t="s">
        <v>65</v>
      </c>
      <c r="F26" s="85">
        <v>50000</v>
      </c>
      <c r="G26" s="19">
        <v>50000</v>
      </c>
      <c r="H26" s="19">
        <v>50000</v>
      </c>
      <c r="I26" s="19">
        <v>50000</v>
      </c>
      <c r="J26" s="5" t="s">
        <v>104</v>
      </c>
      <c r="K26" s="310">
        <v>103736</v>
      </c>
      <c r="L26" s="311">
        <f t="shared" si="7"/>
        <v>0.48199275082902754</v>
      </c>
      <c r="M26" s="211" t="s">
        <v>966</v>
      </c>
    </row>
    <row r="27" spans="1:13" s="6" customFormat="1" ht="39" hidden="1" outlineLevel="1" x14ac:dyDescent="0.35">
      <c r="A27" s="7">
        <v>7</v>
      </c>
      <c r="B27" s="21" t="s">
        <v>16</v>
      </c>
      <c r="C27" s="5" t="s">
        <v>106</v>
      </c>
      <c r="D27" s="5" t="s">
        <v>96</v>
      </c>
      <c r="E27" s="2" t="s">
        <v>66</v>
      </c>
      <c r="F27" s="85">
        <v>40000</v>
      </c>
      <c r="G27" s="85">
        <v>40000</v>
      </c>
      <c r="H27" s="85">
        <v>40000</v>
      </c>
      <c r="I27" s="85">
        <v>50000</v>
      </c>
      <c r="J27" s="10"/>
      <c r="K27" s="308">
        <v>148378</v>
      </c>
      <c r="L27" s="309">
        <f t="shared" si="7"/>
        <v>0.26958174392430145</v>
      </c>
      <c r="M27" s="211" t="s">
        <v>107</v>
      </c>
    </row>
    <row r="28" spans="1:13" s="6" customFormat="1" ht="52" hidden="1" outlineLevel="1" x14ac:dyDescent="0.35">
      <c r="A28" s="7">
        <v>8</v>
      </c>
      <c r="B28" s="21" t="s">
        <v>16</v>
      </c>
      <c r="C28" s="5" t="s">
        <v>108</v>
      </c>
      <c r="D28" s="5" t="s">
        <v>96</v>
      </c>
      <c r="E28" s="2" t="s">
        <v>67</v>
      </c>
      <c r="F28" s="85">
        <v>0</v>
      </c>
      <c r="G28" s="85">
        <v>100000</v>
      </c>
      <c r="H28" s="85">
        <v>100000</v>
      </c>
      <c r="I28" s="85">
        <v>100000</v>
      </c>
      <c r="J28" s="5" t="s">
        <v>109</v>
      </c>
      <c r="K28" s="308">
        <v>200000</v>
      </c>
      <c r="L28" s="309">
        <f t="shared" si="7"/>
        <v>0</v>
      </c>
      <c r="M28" s="211" t="s">
        <v>110</v>
      </c>
    </row>
    <row r="29" spans="1:13" s="6" customFormat="1" ht="65" hidden="1" outlineLevel="1" x14ac:dyDescent="0.35">
      <c r="A29" s="7">
        <v>9</v>
      </c>
      <c r="B29" s="21" t="s">
        <v>16</v>
      </c>
      <c r="C29" s="5" t="s">
        <v>111</v>
      </c>
      <c r="D29" s="5" t="s">
        <v>96</v>
      </c>
      <c r="E29" s="2" t="s">
        <v>66</v>
      </c>
      <c r="F29" s="85">
        <v>268113</v>
      </c>
      <c r="G29" s="85">
        <v>123881</v>
      </c>
      <c r="H29" s="85">
        <v>120310</v>
      </c>
      <c r="I29" s="19">
        <v>0</v>
      </c>
      <c r="J29" s="10"/>
      <c r="K29" s="308">
        <v>515901</v>
      </c>
      <c r="L29" s="309">
        <f t="shared" si="7"/>
        <v>0.51969854681421435</v>
      </c>
      <c r="M29" s="211" t="s">
        <v>964</v>
      </c>
    </row>
    <row r="30" spans="1:13" s="6" customFormat="1" ht="39" hidden="1" outlineLevel="1" x14ac:dyDescent="0.35">
      <c r="A30" s="7">
        <v>10</v>
      </c>
      <c r="B30" s="103" t="s">
        <v>16</v>
      </c>
      <c r="C30" s="45" t="s">
        <v>105</v>
      </c>
      <c r="D30" s="45" t="s">
        <v>96</v>
      </c>
      <c r="E30" s="45" t="s">
        <v>65</v>
      </c>
      <c r="F30" s="300">
        <v>177775</v>
      </c>
      <c r="G30" s="301">
        <v>177775</v>
      </c>
      <c r="H30" s="301">
        <v>177775</v>
      </c>
      <c r="I30" s="301">
        <v>177775</v>
      </c>
      <c r="J30" s="104"/>
      <c r="K30" s="308">
        <v>177775</v>
      </c>
      <c r="L30" s="309">
        <f t="shared" si="7"/>
        <v>1</v>
      </c>
      <c r="M30" s="307" t="s">
        <v>112</v>
      </c>
    </row>
    <row r="31" spans="1:13" s="6" customFormat="1" ht="36.75" hidden="1" customHeight="1" outlineLevel="1" x14ac:dyDescent="0.35">
      <c r="A31" s="7">
        <v>11</v>
      </c>
      <c r="B31" s="103" t="s">
        <v>16</v>
      </c>
      <c r="C31" s="45" t="s">
        <v>105</v>
      </c>
      <c r="D31" s="45" t="s">
        <v>96</v>
      </c>
      <c r="E31" s="45" t="s">
        <v>65</v>
      </c>
      <c r="F31" s="300">
        <v>307729</v>
      </c>
      <c r="G31" s="300">
        <v>307729</v>
      </c>
      <c r="H31" s="300">
        <v>307729</v>
      </c>
      <c r="I31" s="300">
        <v>326834</v>
      </c>
      <c r="J31" s="104"/>
      <c r="K31" s="308">
        <v>307729</v>
      </c>
      <c r="L31" s="312">
        <f>F31/K31</f>
        <v>1</v>
      </c>
      <c r="M31" s="307" t="s">
        <v>968</v>
      </c>
    </row>
    <row r="32" spans="1:13" s="6" customFormat="1" ht="37.5" hidden="1" customHeight="1" outlineLevel="1" x14ac:dyDescent="0.35">
      <c r="A32" s="7">
        <v>12</v>
      </c>
      <c r="B32" s="103" t="s">
        <v>16</v>
      </c>
      <c r="C32" s="45" t="s">
        <v>967</v>
      </c>
      <c r="D32" s="45" t="s">
        <v>96</v>
      </c>
      <c r="E32" s="2" t="s">
        <v>66</v>
      </c>
      <c r="F32" s="300">
        <v>20000</v>
      </c>
      <c r="G32" s="300">
        <v>20000</v>
      </c>
      <c r="H32" s="300">
        <v>20000</v>
      </c>
      <c r="I32" s="300">
        <v>25000</v>
      </c>
      <c r="J32" s="104"/>
      <c r="K32" s="308">
        <v>256740</v>
      </c>
      <c r="L32" s="312">
        <f>F32/K32</f>
        <v>7.7899820830412095E-2</v>
      </c>
      <c r="M32" s="307" t="s">
        <v>969</v>
      </c>
    </row>
    <row r="33" spans="1:13" s="6" customFormat="1" ht="26" hidden="1" outlineLevel="1" x14ac:dyDescent="0.35">
      <c r="A33" s="7">
        <v>13</v>
      </c>
      <c r="B33" s="21" t="s">
        <v>16</v>
      </c>
      <c r="C33" s="5" t="s">
        <v>103</v>
      </c>
      <c r="D33" s="5" t="s">
        <v>113</v>
      </c>
      <c r="E33" s="2" t="s">
        <v>66</v>
      </c>
      <c r="F33" s="85">
        <v>59097</v>
      </c>
      <c r="G33" s="85">
        <v>59097</v>
      </c>
      <c r="H33" s="85">
        <v>59097</v>
      </c>
      <c r="I33" s="85">
        <v>59097</v>
      </c>
      <c r="J33" s="5" t="s">
        <v>104</v>
      </c>
      <c r="K33" s="310">
        <v>248693</v>
      </c>
      <c r="L33" s="311">
        <f t="shared" si="7"/>
        <v>0.23763033137241499</v>
      </c>
      <c r="M33" s="211" t="s">
        <v>114</v>
      </c>
    </row>
    <row r="34" spans="1:13" ht="23.25" customHeight="1" collapsed="1" x14ac:dyDescent="0.3">
      <c r="A34" s="478" t="s">
        <v>115</v>
      </c>
      <c r="B34" s="479"/>
      <c r="C34" s="479"/>
      <c r="D34" s="479"/>
      <c r="E34" s="480"/>
      <c r="F34" s="328">
        <f>SUM(F40:F42)</f>
        <v>1276469</v>
      </c>
      <c r="G34" s="328">
        <f t="shared" ref="G34:I34" si="8">SUM(G40:G42)</f>
        <v>1656353</v>
      </c>
      <c r="H34" s="328">
        <f t="shared" si="8"/>
        <v>2036238</v>
      </c>
      <c r="I34" s="328">
        <f t="shared" si="8"/>
        <v>2036238</v>
      </c>
      <c r="J34" s="141"/>
      <c r="K34" s="226"/>
      <c r="L34" s="220"/>
      <c r="M34" s="142"/>
    </row>
    <row r="35" spans="1:13" x14ac:dyDescent="0.3">
      <c r="A35" s="460" t="s">
        <v>116</v>
      </c>
      <c r="B35" s="461"/>
      <c r="C35" s="461"/>
      <c r="D35" s="461"/>
      <c r="E35" s="462"/>
      <c r="F35" s="40">
        <v>1491518</v>
      </c>
      <c r="G35" s="40"/>
      <c r="H35" s="86"/>
      <c r="I35" s="86"/>
      <c r="J35" s="143"/>
      <c r="K35" s="227"/>
      <c r="L35" s="221"/>
      <c r="M35" s="144"/>
    </row>
    <row r="36" spans="1:13" x14ac:dyDescent="0.3">
      <c r="A36" s="463" t="s">
        <v>117</v>
      </c>
      <c r="B36" s="464"/>
      <c r="C36" s="464"/>
      <c r="D36" s="464"/>
      <c r="E36" s="465"/>
      <c r="F36" s="42">
        <f>F35-F34</f>
        <v>215049</v>
      </c>
      <c r="G36" s="87"/>
      <c r="H36" s="87"/>
      <c r="I36" s="87"/>
      <c r="J36" s="143"/>
      <c r="K36" s="227"/>
      <c r="L36" s="221"/>
      <c r="M36" s="144"/>
    </row>
    <row r="37" spans="1:13" x14ac:dyDescent="0.3">
      <c r="A37" s="475" t="s">
        <v>65</v>
      </c>
      <c r="B37" s="476"/>
      <c r="C37" s="476"/>
      <c r="D37" s="476"/>
      <c r="E37" s="477"/>
      <c r="F37" s="363">
        <f>F41</f>
        <v>502000</v>
      </c>
      <c r="G37" s="363">
        <f t="shared" ref="G37:I38" si="9">G41</f>
        <v>502000</v>
      </c>
      <c r="H37" s="363">
        <f t="shared" si="9"/>
        <v>502000</v>
      </c>
      <c r="I37" s="363">
        <f t="shared" si="9"/>
        <v>502000</v>
      </c>
      <c r="J37" s="327"/>
      <c r="K37" s="368"/>
      <c r="L37" s="369"/>
      <c r="M37" s="366"/>
    </row>
    <row r="38" spans="1:13" x14ac:dyDescent="0.3">
      <c r="A38" s="475" t="s">
        <v>66</v>
      </c>
      <c r="B38" s="476"/>
      <c r="C38" s="476"/>
      <c r="D38" s="476"/>
      <c r="E38" s="477"/>
      <c r="F38" s="363">
        <f>F42</f>
        <v>14700</v>
      </c>
      <c r="G38" s="363">
        <f t="shared" si="9"/>
        <v>14700</v>
      </c>
      <c r="H38" s="363">
        <f t="shared" si="9"/>
        <v>14700</v>
      </c>
      <c r="I38" s="363">
        <f t="shared" si="9"/>
        <v>14700</v>
      </c>
      <c r="J38" s="327"/>
      <c r="K38" s="368"/>
      <c r="L38" s="369"/>
      <c r="M38" s="366"/>
    </row>
    <row r="39" spans="1:13" x14ac:dyDescent="0.3">
      <c r="A39" s="475" t="s">
        <v>67</v>
      </c>
      <c r="B39" s="476"/>
      <c r="C39" s="476"/>
      <c r="D39" s="476"/>
      <c r="E39" s="477"/>
      <c r="F39" s="363">
        <f>F40</f>
        <v>759769</v>
      </c>
      <c r="G39" s="363">
        <f t="shared" ref="G39:I39" si="10">G40</f>
        <v>1139653</v>
      </c>
      <c r="H39" s="363">
        <f t="shared" si="10"/>
        <v>1519538</v>
      </c>
      <c r="I39" s="363">
        <f t="shared" si="10"/>
        <v>1519538</v>
      </c>
      <c r="J39" s="327"/>
      <c r="K39" s="368"/>
      <c r="L39" s="369"/>
      <c r="M39" s="366"/>
    </row>
    <row r="40" spans="1:13" s="6" customFormat="1" ht="132.75" hidden="1" customHeight="1" outlineLevel="1" x14ac:dyDescent="0.35">
      <c r="A40" s="7">
        <v>1</v>
      </c>
      <c r="B40" s="266" t="s">
        <v>17</v>
      </c>
      <c r="C40" s="271" t="s">
        <v>118</v>
      </c>
      <c r="D40" s="267" t="s">
        <v>119</v>
      </c>
      <c r="E40" s="2" t="s">
        <v>67</v>
      </c>
      <c r="F40" s="302">
        <v>759769</v>
      </c>
      <c r="G40" s="302">
        <v>1139653</v>
      </c>
      <c r="H40" s="302">
        <v>1519538</v>
      </c>
      <c r="I40" s="302">
        <v>1519538</v>
      </c>
      <c r="J40" s="5" t="s">
        <v>120</v>
      </c>
      <c r="K40" s="268">
        <v>7407748</v>
      </c>
      <c r="L40" s="218">
        <f>F40/K40</f>
        <v>0.10256409910272325</v>
      </c>
      <c r="M40" s="10"/>
    </row>
    <row r="41" spans="1:13" s="6" customFormat="1" ht="84.75" hidden="1" customHeight="1" outlineLevel="1" x14ac:dyDescent="0.35">
      <c r="A41" s="486">
        <v>2</v>
      </c>
      <c r="B41" s="487" t="s">
        <v>17</v>
      </c>
      <c r="C41" s="488" t="s">
        <v>1016</v>
      </c>
      <c r="D41" s="488" t="s">
        <v>119</v>
      </c>
      <c r="E41" s="208" t="s">
        <v>65</v>
      </c>
      <c r="F41" s="303">
        <v>502000</v>
      </c>
      <c r="G41" s="303">
        <v>502000</v>
      </c>
      <c r="H41" s="303">
        <v>502000</v>
      </c>
      <c r="I41" s="303">
        <v>502000</v>
      </c>
      <c r="J41" s="232"/>
      <c r="K41" s="329">
        <v>8080775</v>
      </c>
      <c r="L41" s="309">
        <f>F41/K41</f>
        <v>6.212275431502548E-2</v>
      </c>
      <c r="M41" s="230" t="s">
        <v>122</v>
      </c>
    </row>
    <row r="42" spans="1:13" s="6" customFormat="1" ht="84.75" hidden="1" customHeight="1" outlineLevel="1" x14ac:dyDescent="0.35">
      <c r="A42" s="486"/>
      <c r="B42" s="487"/>
      <c r="C42" s="488"/>
      <c r="D42" s="488"/>
      <c r="E42" s="208" t="s">
        <v>123</v>
      </c>
      <c r="F42" s="303">
        <v>14700</v>
      </c>
      <c r="G42" s="303">
        <v>14700</v>
      </c>
      <c r="H42" s="303">
        <v>14700</v>
      </c>
      <c r="I42" s="303">
        <v>14700</v>
      </c>
      <c r="J42" s="233"/>
      <c r="K42" s="308">
        <v>1726185</v>
      </c>
      <c r="L42" s="309">
        <f>F42/K42</f>
        <v>8.5158890848895108E-3</v>
      </c>
      <c r="M42" s="10"/>
    </row>
    <row r="43" spans="1:13" collapsed="1" x14ac:dyDescent="0.3">
      <c r="A43" s="481" t="s">
        <v>124</v>
      </c>
      <c r="B43" s="482"/>
      <c r="C43" s="482"/>
      <c r="D43" s="482"/>
      <c r="E43" s="483"/>
      <c r="F43" s="231">
        <f>SUM(F48:F53)</f>
        <v>223898</v>
      </c>
      <c r="G43" s="231">
        <f t="shared" ref="G43:I43" si="11">SUM(G48:G53)</f>
        <v>223898</v>
      </c>
      <c r="H43" s="231">
        <f t="shared" si="11"/>
        <v>223898</v>
      </c>
      <c r="I43" s="231">
        <f t="shared" si="11"/>
        <v>223898</v>
      </c>
      <c r="J43" s="141"/>
      <c r="K43" s="224"/>
      <c r="L43" s="217"/>
      <c r="M43" s="142"/>
    </row>
    <row r="44" spans="1:13" x14ac:dyDescent="0.3">
      <c r="A44" s="460" t="s">
        <v>125</v>
      </c>
      <c r="B44" s="461"/>
      <c r="C44" s="461"/>
      <c r="D44" s="461"/>
      <c r="E44" s="462"/>
      <c r="F44" s="40">
        <v>447794.85017662996</v>
      </c>
      <c r="G44" s="86"/>
      <c r="H44" s="86"/>
      <c r="I44" s="86"/>
      <c r="J44" s="143"/>
      <c r="K44" s="227"/>
      <c r="L44" s="221"/>
      <c r="M44" s="144"/>
    </row>
    <row r="45" spans="1:13" x14ac:dyDescent="0.3">
      <c r="A45" s="463" t="s">
        <v>126</v>
      </c>
      <c r="B45" s="464"/>
      <c r="C45" s="464"/>
      <c r="D45" s="464"/>
      <c r="E45" s="465"/>
      <c r="F45" s="42">
        <f>F44-F43</f>
        <v>223896.85017662996</v>
      </c>
      <c r="G45" s="87"/>
      <c r="H45" s="87"/>
      <c r="I45" s="87"/>
      <c r="J45" s="143"/>
      <c r="K45" s="227"/>
      <c r="L45" s="221"/>
      <c r="M45" s="144"/>
    </row>
    <row r="46" spans="1:13" x14ac:dyDescent="0.3">
      <c r="A46" s="475" t="s">
        <v>66</v>
      </c>
      <c r="B46" s="476"/>
      <c r="C46" s="476"/>
      <c r="D46" s="476"/>
      <c r="E46" s="477"/>
      <c r="F46" s="363">
        <f>F48+F50+F51+F52</f>
        <v>70674</v>
      </c>
      <c r="G46" s="363">
        <f t="shared" ref="G46:I46" si="12">G48+G50+G51+G52</f>
        <v>21426</v>
      </c>
      <c r="H46" s="363">
        <f t="shared" si="12"/>
        <v>21426</v>
      </c>
      <c r="I46" s="363">
        <f t="shared" si="12"/>
        <v>21426</v>
      </c>
      <c r="J46" s="327"/>
      <c r="K46" s="368"/>
      <c r="L46" s="369"/>
      <c r="M46" s="366"/>
    </row>
    <row r="47" spans="1:13" x14ac:dyDescent="0.3">
      <c r="A47" s="475" t="s">
        <v>67</v>
      </c>
      <c r="B47" s="476"/>
      <c r="C47" s="476"/>
      <c r="D47" s="476"/>
      <c r="E47" s="477"/>
      <c r="F47" s="363">
        <f>F49+F53</f>
        <v>153224</v>
      </c>
      <c r="G47" s="363">
        <f t="shared" ref="G47:I47" si="13">G49+G53</f>
        <v>202472</v>
      </c>
      <c r="H47" s="363">
        <f t="shared" si="13"/>
        <v>202472</v>
      </c>
      <c r="I47" s="363">
        <f t="shared" si="13"/>
        <v>202472</v>
      </c>
      <c r="J47" s="327"/>
      <c r="K47" s="368"/>
      <c r="L47" s="369"/>
      <c r="M47" s="366"/>
    </row>
    <row r="48" spans="1:13" s="6" customFormat="1" ht="72.75" hidden="1" customHeight="1" outlineLevel="1" x14ac:dyDescent="0.35">
      <c r="A48" s="235">
        <v>1</v>
      </c>
      <c r="B48" s="103" t="s">
        <v>19</v>
      </c>
      <c r="C48" s="295" t="s">
        <v>127</v>
      </c>
      <c r="D48" s="296" t="s">
        <v>128</v>
      </c>
      <c r="E48" s="296" t="s">
        <v>123</v>
      </c>
      <c r="F48" s="85">
        <v>18000</v>
      </c>
      <c r="G48" s="19">
        <v>18000</v>
      </c>
      <c r="H48" s="19">
        <v>18000</v>
      </c>
      <c r="I48" s="19">
        <v>18000</v>
      </c>
      <c r="J48" s="10"/>
      <c r="K48" s="308">
        <v>716559</v>
      </c>
      <c r="L48" s="309">
        <f>F48/K48</f>
        <v>2.512005291957815E-2</v>
      </c>
      <c r="M48" s="295" t="s">
        <v>129</v>
      </c>
    </row>
    <row r="49" spans="1:13" s="6" customFormat="1" ht="35.25" hidden="1" customHeight="1" outlineLevel="1" x14ac:dyDescent="0.35">
      <c r="A49" s="255">
        <v>2</v>
      </c>
      <c r="B49" s="103" t="s">
        <v>19</v>
      </c>
      <c r="C49" s="297" t="s">
        <v>130</v>
      </c>
      <c r="D49" s="298" t="s">
        <v>131</v>
      </c>
      <c r="E49" s="298" t="s">
        <v>67</v>
      </c>
      <c r="F49" s="85">
        <v>153224</v>
      </c>
      <c r="G49" s="19">
        <v>226574</v>
      </c>
      <c r="H49" s="19">
        <v>226574</v>
      </c>
      <c r="I49" s="19">
        <v>226574</v>
      </c>
      <c r="J49" s="132"/>
      <c r="K49" s="484">
        <v>500000</v>
      </c>
      <c r="L49" s="489">
        <f>F49/K49</f>
        <v>0.306448</v>
      </c>
      <c r="M49" s="297" t="s">
        <v>132</v>
      </c>
    </row>
    <row r="50" spans="1:13" s="6" customFormat="1" ht="35.25" hidden="1" customHeight="1" outlineLevel="1" x14ac:dyDescent="0.35">
      <c r="A50" s="255">
        <v>3</v>
      </c>
      <c r="B50" s="103" t="s">
        <v>19</v>
      </c>
      <c r="C50" s="297" t="s">
        <v>130</v>
      </c>
      <c r="D50" s="298" t="s">
        <v>131</v>
      </c>
      <c r="E50" s="298" t="s">
        <v>123</v>
      </c>
      <c r="F50" s="85">
        <v>0</v>
      </c>
      <c r="G50" s="19">
        <v>3426</v>
      </c>
      <c r="H50" s="19">
        <v>3426</v>
      </c>
      <c r="I50" s="19">
        <v>3426</v>
      </c>
      <c r="J50" s="132"/>
      <c r="K50" s="485"/>
      <c r="L50" s="490"/>
      <c r="M50" s="297" t="s">
        <v>134</v>
      </c>
    </row>
    <row r="51" spans="1:13" s="6" customFormat="1" ht="35.25" hidden="1" customHeight="1" outlineLevel="1" x14ac:dyDescent="0.35">
      <c r="A51" s="255">
        <v>4</v>
      </c>
      <c r="B51" s="103" t="s">
        <v>19</v>
      </c>
      <c r="C51" s="299" t="s">
        <v>135</v>
      </c>
      <c r="D51" s="298" t="s">
        <v>136</v>
      </c>
      <c r="E51" s="298" t="s">
        <v>123</v>
      </c>
      <c r="F51" s="85">
        <v>21848</v>
      </c>
      <c r="G51" s="19">
        <v>0</v>
      </c>
      <c r="H51" s="19">
        <v>0</v>
      </c>
      <c r="I51" s="19">
        <v>0</v>
      </c>
      <c r="J51" s="132"/>
      <c r="K51" s="484">
        <v>3930521</v>
      </c>
      <c r="L51" s="489">
        <f>(F51+F52)/K51</f>
        <v>1.3401276828186391E-2</v>
      </c>
      <c r="M51" s="297" t="s">
        <v>137</v>
      </c>
    </row>
    <row r="52" spans="1:13" s="6" customFormat="1" ht="35.25" hidden="1" customHeight="1" outlineLevel="1" x14ac:dyDescent="0.35">
      <c r="A52" s="255">
        <v>5</v>
      </c>
      <c r="B52" s="103" t="s">
        <v>19</v>
      </c>
      <c r="C52" s="297" t="s">
        <v>138</v>
      </c>
      <c r="D52" s="298" t="s">
        <v>136</v>
      </c>
      <c r="E52" s="298" t="s">
        <v>123</v>
      </c>
      <c r="F52" s="85">
        <v>30826</v>
      </c>
      <c r="G52" s="19">
        <v>0</v>
      </c>
      <c r="H52" s="19">
        <v>0</v>
      </c>
      <c r="I52" s="19">
        <v>0</v>
      </c>
      <c r="J52" s="132"/>
      <c r="K52" s="491"/>
      <c r="L52" s="492"/>
      <c r="M52" s="297" t="s">
        <v>139</v>
      </c>
    </row>
    <row r="53" spans="1:13" s="6" customFormat="1" ht="39.75" hidden="1" customHeight="1" outlineLevel="1" x14ac:dyDescent="0.35">
      <c r="A53" s="255">
        <v>6</v>
      </c>
      <c r="B53" s="103" t="s">
        <v>19</v>
      </c>
      <c r="C53" s="297" t="s">
        <v>140</v>
      </c>
      <c r="D53" s="298" t="s">
        <v>136</v>
      </c>
      <c r="E53" s="298" t="s">
        <v>67</v>
      </c>
      <c r="F53" s="85">
        <v>0</v>
      </c>
      <c r="G53" s="19">
        <v>-24102</v>
      </c>
      <c r="H53" s="19">
        <v>-24102</v>
      </c>
      <c r="I53" s="19">
        <v>-24102</v>
      </c>
      <c r="J53" s="132"/>
      <c r="K53" s="485"/>
      <c r="L53" s="490"/>
      <c r="M53" s="297" t="s">
        <v>141</v>
      </c>
    </row>
    <row r="54" spans="1:13" collapsed="1" x14ac:dyDescent="0.3">
      <c r="A54" s="481" t="s">
        <v>142</v>
      </c>
      <c r="B54" s="482"/>
      <c r="C54" s="482"/>
      <c r="D54" s="482"/>
      <c r="E54" s="483"/>
      <c r="F54" s="39">
        <f>SUM(F59:F67)</f>
        <v>439199</v>
      </c>
      <c r="G54" s="39">
        <f t="shared" ref="G54:I54" si="14">SUM(G59:G67)</f>
        <v>439199</v>
      </c>
      <c r="H54" s="39">
        <f t="shared" si="14"/>
        <v>439199</v>
      </c>
      <c r="I54" s="39">
        <f t="shared" si="14"/>
        <v>439199</v>
      </c>
      <c r="J54" s="141"/>
      <c r="K54" s="226"/>
      <c r="L54" s="220"/>
      <c r="M54" s="142"/>
    </row>
    <row r="55" spans="1:13" x14ac:dyDescent="0.3">
      <c r="A55" s="460" t="s">
        <v>143</v>
      </c>
      <c r="B55" s="461"/>
      <c r="C55" s="461"/>
      <c r="D55" s="461"/>
      <c r="E55" s="462"/>
      <c r="F55" s="40">
        <v>439199</v>
      </c>
      <c r="G55" s="86"/>
      <c r="H55" s="86"/>
      <c r="I55" s="86"/>
      <c r="J55" s="143"/>
      <c r="K55" s="227"/>
      <c r="L55" s="221"/>
      <c r="M55" s="144"/>
    </row>
    <row r="56" spans="1:13" x14ac:dyDescent="0.3">
      <c r="A56" s="463" t="s">
        <v>144</v>
      </c>
      <c r="B56" s="464"/>
      <c r="C56" s="464"/>
      <c r="D56" s="464"/>
      <c r="E56" s="465"/>
      <c r="F56" s="42">
        <f>F55-F54</f>
        <v>0</v>
      </c>
      <c r="G56" s="87"/>
      <c r="H56" s="87"/>
      <c r="I56" s="87"/>
      <c r="J56" s="143"/>
      <c r="K56" s="227"/>
      <c r="L56" s="221"/>
      <c r="M56" s="144"/>
    </row>
    <row r="57" spans="1:13" x14ac:dyDescent="0.3">
      <c r="A57" s="475" t="s">
        <v>66</v>
      </c>
      <c r="B57" s="476"/>
      <c r="C57" s="476"/>
      <c r="D57" s="476"/>
      <c r="E57" s="477"/>
      <c r="F57" s="363">
        <f>F59+F60+F61+F62+F63+F64+F66+F67</f>
        <v>282720</v>
      </c>
      <c r="G57" s="363">
        <f t="shared" ref="G57:I57" si="15">G59+G60+G61+G62+G63+G64+G66+G67</f>
        <v>282720</v>
      </c>
      <c r="H57" s="363">
        <f t="shared" si="15"/>
        <v>282720</v>
      </c>
      <c r="I57" s="363">
        <f t="shared" si="15"/>
        <v>282720</v>
      </c>
      <c r="J57" s="327"/>
      <c r="K57" s="368"/>
      <c r="L57" s="369"/>
      <c r="M57" s="366"/>
    </row>
    <row r="58" spans="1:13" x14ac:dyDescent="0.3">
      <c r="A58" s="475" t="s">
        <v>70</v>
      </c>
      <c r="B58" s="476"/>
      <c r="C58" s="476"/>
      <c r="D58" s="476"/>
      <c r="E58" s="477"/>
      <c r="F58" s="363">
        <f>F65</f>
        <v>156479</v>
      </c>
      <c r="G58" s="363">
        <f t="shared" ref="G58:I58" si="16">G65</f>
        <v>156479</v>
      </c>
      <c r="H58" s="363">
        <f t="shared" si="16"/>
        <v>156479</v>
      </c>
      <c r="I58" s="363">
        <f t="shared" si="16"/>
        <v>156479</v>
      </c>
      <c r="J58" s="327"/>
      <c r="K58" s="368"/>
      <c r="L58" s="369"/>
      <c r="M58" s="366"/>
    </row>
    <row r="59" spans="1:13" s="6" customFormat="1" ht="26" hidden="1" outlineLevel="1" x14ac:dyDescent="0.35">
      <c r="A59" s="7">
        <v>1</v>
      </c>
      <c r="B59" s="21" t="s">
        <v>21</v>
      </c>
      <c r="C59" s="5" t="s">
        <v>145</v>
      </c>
      <c r="D59" s="22" t="s">
        <v>146</v>
      </c>
      <c r="E59" s="2" t="s">
        <v>66</v>
      </c>
      <c r="F59" s="84">
        <v>90000</v>
      </c>
      <c r="G59" s="20">
        <v>90000</v>
      </c>
      <c r="H59" s="20">
        <v>90000</v>
      </c>
      <c r="I59" s="20">
        <v>90000</v>
      </c>
      <c r="J59" s="10"/>
      <c r="K59" s="308">
        <v>150000</v>
      </c>
      <c r="L59" s="309">
        <f>F59/K59</f>
        <v>0.6</v>
      </c>
      <c r="M59" s="209"/>
    </row>
    <row r="60" spans="1:13" s="6" customFormat="1" ht="26" hidden="1" outlineLevel="1" x14ac:dyDescent="0.35">
      <c r="A60" s="7">
        <v>2</v>
      </c>
      <c r="B60" s="21" t="s">
        <v>21</v>
      </c>
      <c r="C60" s="5" t="s">
        <v>147</v>
      </c>
      <c r="D60" s="22" t="s">
        <v>146</v>
      </c>
      <c r="E60" s="2" t="s">
        <v>66</v>
      </c>
      <c r="F60" s="84">
        <v>50000</v>
      </c>
      <c r="G60" s="20">
        <v>50000</v>
      </c>
      <c r="H60" s="20">
        <v>50000</v>
      </c>
      <c r="I60" s="20">
        <v>50000</v>
      </c>
      <c r="J60" s="10"/>
      <c r="K60" s="332">
        <v>150000</v>
      </c>
      <c r="L60" s="309">
        <f t="shared" ref="L60:L66" si="17">F60/K60</f>
        <v>0.33333333333333331</v>
      </c>
      <c r="M60" s="209"/>
    </row>
    <row r="61" spans="1:13" s="6" customFormat="1" ht="26" hidden="1" outlineLevel="1" x14ac:dyDescent="0.35">
      <c r="A61" s="7">
        <v>3</v>
      </c>
      <c r="B61" s="21" t="s">
        <v>21</v>
      </c>
      <c r="C61" s="5" t="s">
        <v>148</v>
      </c>
      <c r="D61" s="22" t="s">
        <v>146</v>
      </c>
      <c r="E61" s="2" t="s">
        <v>66</v>
      </c>
      <c r="F61" s="84">
        <v>10000</v>
      </c>
      <c r="G61" s="20">
        <v>10000</v>
      </c>
      <c r="H61" s="20">
        <v>10000</v>
      </c>
      <c r="I61" s="20">
        <v>10000</v>
      </c>
      <c r="J61" s="10"/>
      <c r="K61" s="332">
        <v>20000</v>
      </c>
      <c r="L61" s="309">
        <f t="shared" si="17"/>
        <v>0.5</v>
      </c>
      <c r="M61" s="209"/>
    </row>
    <row r="62" spans="1:13" s="6" customFormat="1" ht="26" hidden="1" outlineLevel="1" x14ac:dyDescent="0.35">
      <c r="A62" s="7">
        <v>4</v>
      </c>
      <c r="B62" s="21" t="s">
        <v>21</v>
      </c>
      <c r="C62" s="5" t="s">
        <v>149</v>
      </c>
      <c r="D62" s="22" t="s">
        <v>146</v>
      </c>
      <c r="E62" s="2" t="s">
        <v>66</v>
      </c>
      <c r="F62" s="84">
        <v>5115</v>
      </c>
      <c r="G62" s="20">
        <v>5115</v>
      </c>
      <c r="H62" s="20">
        <v>5115</v>
      </c>
      <c r="I62" s="20">
        <v>5115</v>
      </c>
      <c r="J62" s="10"/>
      <c r="K62" s="332">
        <v>5115</v>
      </c>
      <c r="L62" s="309">
        <f t="shared" si="17"/>
        <v>1</v>
      </c>
      <c r="M62" s="208" t="s">
        <v>150</v>
      </c>
    </row>
    <row r="63" spans="1:13" s="6" customFormat="1" ht="26" hidden="1" outlineLevel="1" x14ac:dyDescent="0.35">
      <c r="A63" s="7">
        <v>5</v>
      </c>
      <c r="B63" s="21" t="s">
        <v>21</v>
      </c>
      <c r="C63" s="5" t="s">
        <v>151</v>
      </c>
      <c r="D63" s="22" t="s">
        <v>146</v>
      </c>
      <c r="E63" s="2" t="s">
        <v>66</v>
      </c>
      <c r="F63" s="84">
        <v>5000</v>
      </c>
      <c r="G63" s="20">
        <v>5000</v>
      </c>
      <c r="H63" s="20">
        <v>5000</v>
      </c>
      <c r="I63" s="20">
        <v>5000</v>
      </c>
      <c r="J63" s="10"/>
      <c r="K63" s="332">
        <v>5000</v>
      </c>
      <c r="L63" s="309">
        <f t="shared" si="17"/>
        <v>1</v>
      </c>
      <c r="M63" s="279" t="s">
        <v>150</v>
      </c>
    </row>
    <row r="64" spans="1:13" s="6" customFormat="1" ht="39" hidden="1" outlineLevel="1" x14ac:dyDescent="0.35">
      <c r="A64" s="7">
        <v>6</v>
      </c>
      <c r="B64" s="21" t="s">
        <v>21</v>
      </c>
      <c r="C64" s="5" t="s">
        <v>152</v>
      </c>
      <c r="D64" s="22" t="s">
        <v>146</v>
      </c>
      <c r="E64" s="2" t="s">
        <v>66</v>
      </c>
      <c r="F64" s="84">
        <v>104005</v>
      </c>
      <c r="G64" s="20">
        <v>104005</v>
      </c>
      <c r="H64" s="20">
        <v>104005</v>
      </c>
      <c r="I64" s="20">
        <v>104005</v>
      </c>
      <c r="J64" s="10"/>
      <c r="K64" s="332">
        <v>593439</v>
      </c>
      <c r="L64" s="309">
        <f t="shared" si="17"/>
        <v>0.17525811414484049</v>
      </c>
      <c r="M64" s="209"/>
    </row>
    <row r="65" spans="1:13" s="6" customFormat="1" ht="65" hidden="1" outlineLevel="1" x14ac:dyDescent="0.3">
      <c r="A65" s="7">
        <v>7</v>
      </c>
      <c r="B65" s="21" t="s">
        <v>21</v>
      </c>
      <c r="C65" s="5" t="s">
        <v>153</v>
      </c>
      <c r="D65" s="22" t="s">
        <v>146</v>
      </c>
      <c r="E65" s="46" t="s">
        <v>70</v>
      </c>
      <c r="F65" s="84">
        <v>156479</v>
      </c>
      <c r="G65" s="20">
        <v>156479</v>
      </c>
      <c r="H65" s="20">
        <v>156479</v>
      </c>
      <c r="I65" s="20">
        <v>156479</v>
      </c>
      <c r="J65" s="10"/>
      <c r="K65" s="332">
        <v>7436024</v>
      </c>
      <c r="L65" s="309">
        <f t="shared" si="17"/>
        <v>2.1043369413546811E-2</v>
      </c>
      <c r="M65" s="209"/>
    </row>
    <row r="66" spans="1:13" s="6" customFormat="1" ht="39" hidden="1" outlineLevel="1" x14ac:dyDescent="0.35">
      <c r="A66" s="7">
        <v>8</v>
      </c>
      <c r="B66" s="21" t="s">
        <v>21</v>
      </c>
      <c r="C66" s="5" t="s">
        <v>154</v>
      </c>
      <c r="D66" s="22" t="s">
        <v>146</v>
      </c>
      <c r="E66" s="2" t="s">
        <v>66</v>
      </c>
      <c r="F66" s="84">
        <v>6400</v>
      </c>
      <c r="G66" s="20">
        <v>6400</v>
      </c>
      <c r="H66" s="20">
        <v>6400</v>
      </c>
      <c r="I66" s="20">
        <v>6400</v>
      </c>
      <c r="J66" s="10"/>
      <c r="K66" s="332">
        <v>10000</v>
      </c>
      <c r="L66" s="309">
        <f t="shared" si="17"/>
        <v>0.64</v>
      </c>
      <c r="M66" s="208" t="s">
        <v>155</v>
      </c>
    </row>
    <row r="67" spans="1:13" s="6" customFormat="1" ht="26" hidden="1" outlineLevel="1" x14ac:dyDescent="0.35">
      <c r="A67" s="7">
        <v>9</v>
      </c>
      <c r="B67" s="21" t="s">
        <v>21</v>
      </c>
      <c r="C67" s="5" t="s">
        <v>156</v>
      </c>
      <c r="D67" s="22" t="s">
        <v>157</v>
      </c>
      <c r="E67" s="2" t="s">
        <v>66</v>
      </c>
      <c r="F67" s="98">
        <v>12200</v>
      </c>
      <c r="G67" s="97">
        <v>12200</v>
      </c>
      <c r="H67" s="97">
        <v>12200</v>
      </c>
      <c r="I67" s="97">
        <v>12200</v>
      </c>
      <c r="J67" s="10"/>
      <c r="K67" s="332">
        <v>28400</v>
      </c>
      <c r="L67" s="309">
        <f>F67/K67</f>
        <v>0.42957746478873238</v>
      </c>
      <c r="M67" s="333" t="s">
        <v>158</v>
      </c>
    </row>
    <row r="68" spans="1:13" collapsed="1" x14ac:dyDescent="0.3">
      <c r="A68" s="457" t="s">
        <v>159</v>
      </c>
      <c r="B68" s="458"/>
      <c r="C68" s="458"/>
      <c r="D68" s="458"/>
      <c r="E68" s="459"/>
      <c r="F68" s="39">
        <f>SUM(F77:F88)</f>
        <v>3836047</v>
      </c>
      <c r="G68" s="39">
        <f>SUM(G77:G88)</f>
        <v>3836047</v>
      </c>
      <c r="H68" s="39">
        <f>SUM(H77:H88)</f>
        <v>3836047</v>
      </c>
      <c r="I68" s="39">
        <f>SUM(I77:I88)</f>
        <v>3529804</v>
      </c>
      <c r="J68" s="141"/>
      <c r="K68" s="226"/>
      <c r="L68" s="220"/>
      <c r="M68" s="142"/>
    </row>
    <row r="69" spans="1:13" x14ac:dyDescent="0.3">
      <c r="A69" s="460" t="s">
        <v>160</v>
      </c>
      <c r="B69" s="461"/>
      <c r="C69" s="461"/>
      <c r="D69" s="461"/>
      <c r="E69" s="462"/>
      <c r="F69" s="40">
        <v>3836047</v>
      </c>
      <c r="G69" s="86"/>
      <c r="H69" s="86"/>
      <c r="I69" s="86"/>
      <c r="J69" s="143"/>
      <c r="K69" s="227"/>
      <c r="L69" s="221"/>
      <c r="M69" s="144"/>
    </row>
    <row r="70" spans="1:13" x14ac:dyDescent="0.3">
      <c r="A70" s="463" t="s">
        <v>161</v>
      </c>
      <c r="B70" s="464"/>
      <c r="C70" s="464"/>
      <c r="D70" s="464"/>
      <c r="E70" s="465"/>
      <c r="F70" s="41">
        <f>F69-F68</f>
        <v>0</v>
      </c>
      <c r="G70" s="87"/>
      <c r="H70" s="87"/>
      <c r="I70" s="87"/>
      <c r="J70" s="143"/>
      <c r="K70" s="227"/>
      <c r="L70" s="221"/>
      <c r="M70" s="144"/>
    </row>
    <row r="71" spans="1:13" x14ac:dyDescent="0.3">
      <c r="A71" s="475" t="s">
        <v>65</v>
      </c>
      <c r="B71" s="476"/>
      <c r="C71" s="476"/>
      <c r="D71" s="476"/>
      <c r="E71" s="477"/>
      <c r="F71" s="370">
        <f>F82+F84+F85</f>
        <v>1616295</v>
      </c>
      <c r="G71" s="370">
        <f t="shared" ref="G71:I71" si="18">G82+G84+G85</f>
        <v>1581312</v>
      </c>
      <c r="H71" s="370">
        <f t="shared" si="18"/>
        <v>2008847</v>
      </c>
      <c r="I71" s="370">
        <f t="shared" si="18"/>
        <v>2080245</v>
      </c>
      <c r="J71" s="327"/>
      <c r="K71" s="368"/>
      <c r="L71" s="369"/>
      <c r="M71" s="366"/>
    </row>
    <row r="72" spans="1:13" x14ac:dyDescent="0.3">
      <c r="A72" s="475" t="s">
        <v>66</v>
      </c>
      <c r="B72" s="476"/>
      <c r="C72" s="476"/>
      <c r="D72" s="476"/>
      <c r="E72" s="477"/>
      <c r="F72" s="370">
        <f>F79+F83+F86</f>
        <v>728950</v>
      </c>
      <c r="G72" s="370">
        <f t="shared" ref="G72:I72" si="19">G79+G83+G86</f>
        <v>760933</v>
      </c>
      <c r="H72" s="370">
        <f t="shared" si="19"/>
        <v>860398</v>
      </c>
      <c r="I72" s="370">
        <f t="shared" si="19"/>
        <v>924757</v>
      </c>
      <c r="J72" s="327"/>
      <c r="K72" s="368"/>
      <c r="L72" s="369"/>
      <c r="M72" s="366"/>
    </row>
    <row r="73" spans="1:13" x14ac:dyDescent="0.3">
      <c r="A73" s="475" t="s">
        <v>67</v>
      </c>
      <c r="B73" s="476"/>
      <c r="C73" s="476"/>
      <c r="D73" s="476"/>
      <c r="E73" s="477"/>
      <c r="F73" s="370">
        <f>F78+F80</f>
        <v>196000</v>
      </c>
      <c r="G73" s="370">
        <f t="shared" ref="G73:I73" si="20">G78+G80</f>
        <v>196000</v>
      </c>
      <c r="H73" s="370">
        <f t="shared" si="20"/>
        <v>196000</v>
      </c>
      <c r="I73" s="370">
        <f t="shared" si="20"/>
        <v>196000</v>
      </c>
      <c r="J73" s="327"/>
      <c r="K73" s="368"/>
      <c r="L73" s="369"/>
      <c r="M73" s="366"/>
    </row>
    <row r="74" spans="1:13" x14ac:dyDescent="0.3">
      <c r="A74" s="475" t="s">
        <v>68</v>
      </c>
      <c r="B74" s="476"/>
      <c r="C74" s="476"/>
      <c r="D74" s="476"/>
      <c r="E74" s="477"/>
      <c r="F74" s="370">
        <f>F87</f>
        <v>140658</v>
      </c>
      <c r="G74" s="370">
        <f t="shared" ref="G74:I75" si="21">G87</f>
        <v>140658</v>
      </c>
      <c r="H74" s="370">
        <f t="shared" si="21"/>
        <v>140658</v>
      </c>
      <c r="I74" s="370">
        <f t="shared" si="21"/>
        <v>140658</v>
      </c>
      <c r="J74" s="327"/>
      <c r="K74" s="368"/>
      <c r="L74" s="369"/>
      <c r="M74" s="366"/>
    </row>
    <row r="75" spans="1:13" x14ac:dyDescent="0.3">
      <c r="A75" s="475" t="s">
        <v>69</v>
      </c>
      <c r="B75" s="476"/>
      <c r="C75" s="476"/>
      <c r="D75" s="476"/>
      <c r="E75" s="477"/>
      <c r="F75" s="370">
        <f>F88</f>
        <v>1144</v>
      </c>
      <c r="G75" s="370">
        <f t="shared" si="21"/>
        <v>1144</v>
      </c>
      <c r="H75" s="370">
        <f t="shared" si="21"/>
        <v>1144</v>
      </c>
      <c r="I75" s="370">
        <f t="shared" si="21"/>
        <v>1144</v>
      </c>
      <c r="J75" s="327"/>
      <c r="K75" s="368"/>
      <c r="L75" s="369"/>
      <c r="M75" s="366"/>
    </row>
    <row r="76" spans="1:13" x14ac:dyDescent="0.3">
      <c r="A76" s="475" t="s">
        <v>70</v>
      </c>
      <c r="B76" s="476"/>
      <c r="C76" s="476"/>
      <c r="D76" s="476"/>
      <c r="E76" s="477"/>
      <c r="F76" s="370">
        <f>F81+F77</f>
        <v>1153000</v>
      </c>
      <c r="G76" s="370">
        <f t="shared" ref="G76:I76" si="22">G81+G77</f>
        <v>1156000</v>
      </c>
      <c r="H76" s="370">
        <f t="shared" si="22"/>
        <v>629000</v>
      </c>
      <c r="I76" s="370">
        <f t="shared" si="22"/>
        <v>187000</v>
      </c>
      <c r="J76" s="327"/>
      <c r="K76" s="368"/>
      <c r="L76" s="369"/>
      <c r="M76" s="366"/>
    </row>
    <row r="77" spans="1:13" s="6" customFormat="1" ht="26" hidden="1" outlineLevel="1" x14ac:dyDescent="0.35">
      <c r="A77" s="7">
        <v>1</v>
      </c>
      <c r="B77" s="7" t="s">
        <v>22</v>
      </c>
      <c r="C77" s="5" t="s">
        <v>162</v>
      </c>
      <c r="D77" s="2" t="s">
        <v>163</v>
      </c>
      <c r="E77" s="2" t="s">
        <v>164</v>
      </c>
      <c r="F77" s="84">
        <v>1103000</v>
      </c>
      <c r="G77" s="20">
        <v>1106000</v>
      </c>
      <c r="H77" s="20">
        <v>579000</v>
      </c>
      <c r="I77" s="20">
        <v>137000</v>
      </c>
      <c r="J77" s="10"/>
      <c r="K77" s="269">
        <v>17653256</v>
      </c>
      <c r="L77" s="270">
        <f t="shared" ref="L77:L111" si="23">F77/K77</f>
        <v>6.2481391534796753E-2</v>
      </c>
      <c r="M77" s="53" t="s">
        <v>165</v>
      </c>
    </row>
    <row r="78" spans="1:13" s="6" customFormat="1" ht="24.75" hidden="1" customHeight="1" outlineLevel="1" x14ac:dyDescent="0.35">
      <c r="A78" s="493">
        <v>2</v>
      </c>
      <c r="B78" s="493" t="s">
        <v>22</v>
      </c>
      <c r="C78" s="495" t="s">
        <v>166</v>
      </c>
      <c r="D78" s="495" t="s">
        <v>167</v>
      </c>
      <c r="E78" s="2" t="s">
        <v>67</v>
      </c>
      <c r="F78" s="84">
        <v>46000</v>
      </c>
      <c r="G78" s="20">
        <v>46000</v>
      </c>
      <c r="H78" s="20">
        <v>46000</v>
      </c>
      <c r="I78" s="20">
        <v>46000</v>
      </c>
      <c r="J78" s="497"/>
      <c r="K78" s="499">
        <v>176238</v>
      </c>
      <c r="L78" s="501">
        <f>(F78+F79)/K78</f>
        <v>0.28370725950135611</v>
      </c>
      <c r="M78" s="503" t="s">
        <v>168</v>
      </c>
    </row>
    <row r="79" spans="1:13" s="6" customFormat="1" ht="26" hidden="1" outlineLevel="1" x14ac:dyDescent="0.35">
      <c r="A79" s="494"/>
      <c r="B79" s="494"/>
      <c r="C79" s="496"/>
      <c r="D79" s="496"/>
      <c r="E79" s="2" t="s">
        <v>66</v>
      </c>
      <c r="F79" s="84">
        <v>4000</v>
      </c>
      <c r="G79" s="20">
        <v>4000</v>
      </c>
      <c r="H79" s="20">
        <v>4000</v>
      </c>
      <c r="I79" s="20">
        <v>4000</v>
      </c>
      <c r="J79" s="498"/>
      <c r="K79" s="500"/>
      <c r="L79" s="502"/>
      <c r="M79" s="504"/>
    </row>
    <row r="80" spans="1:13" s="6" customFormat="1" ht="26" hidden="1" outlineLevel="1" x14ac:dyDescent="0.35">
      <c r="A80" s="493">
        <v>3</v>
      </c>
      <c r="B80" s="493" t="s">
        <v>22</v>
      </c>
      <c r="C80" s="495" t="s">
        <v>169</v>
      </c>
      <c r="D80" s="495" t="s">
        <v>167</v>
      </c>
      <c r="E80" s="2" t="s">
        <v>67</v>
      </c>
      <c r="F80" s="84">
        <v>150000</v>
      </c>
      <c r="G80" s="20">
        <v>150000</v>
      </c>
      <c r="H80" s="20">
        <v>150000</v>
      </c>
      <c r="I80" s="20">
        <v>150000</v>
      </c>
      <c r="J80" s="495"/>
      <c r="K80" s="499">
        <v>1658793</v>
      </c>
      <c r="L80" s="501">
        <f>(F80+F81)/K80</f>
        <v>0.12056959488013272</v>
      </c>
      <c r="M80" s="495"/>
    </row>
    <row r="81" spans="1:13" s="6" customFormat="1" ht="104" hidden="1" outlineLevel="1" x14ac:dyDescent="0.35">
      <c r="A81" s="494"/>
      <c r="B81" s="494"/>
      <c r="C81" s="496"/>
      <c r="D81" s="496"/>
      <c r="E81" s="2" t="s">
        <v>170</v>
      </c>
      <c r="F81" s="84">
        <v>50000</v>
      </c>
      <c r="G81" s="20">
        <v>50000</v>
      </c>
      <c r="H81" s="20">
        <v>50000</v>
      </c>
      <c r="I81" s="20">
        <v>50000</v>
      </c>
      <c r="J81" s="496"/>
      <c r="K81" s="500"/>
      <c r="L81" s="502"/>
      <c r="M81" s="496"/>
    </row>
    <row r="82" spans="1:13" s="6" customFormat="1" ht="24.75" hidden="1" customHeight="1" outlineLevel="1" x14ac:dyDescent="0.35">
      <c r="A82" s="493">
        <v>4</v>
      </c>
      <c r="B82" s="493" t="s">
        <v>22</v>
      </c>
      <c r="C82" s="495" t="s">
        <v>171</v>
      </c>
      <c r="D82" s="495" t="s">
        <v>167</v>
      </c>
      <c r="E82" s="2" t="s">
        <v>65</v>
      </c>
      <c r="F82" s="20">
        <v>55000</v>
      </c>
      <c r="G82" s="20">
        <v>55000</v>
      </c>
      <c r="H82" s="20"/>
      <c r="I82" s="20"/>
      <c r="J82" s="495" t="s">
        <v>172</v>
      </c>
      <c r="K82" s="499">
        <v>3367125</v>
      </c>
      <c r="L82" s="501">
        <f>(F82+F83)/K82</f>
        <v>7.3801833908750045E-2</v>
      </c>
      <c r="M82" s="505"/>
    </row>
    <row r="83" spans="1:13" s="6" customFormat="1" ht="26" hidden="1" outlineLevel="1" x14ac:dyDescent="0.35">
      <c r="A83" s="494"/>
      <c r="B83" s="494"/>
      <c r="C83" s="496"/>
      <c r="D83" s="496"/>
      <c r="E83" s="2" t="s">
        <v>66</v>
      </c>
      <c r="F83" s="20">
        <v>193500</v>
      </c>
      <c r="G83" s="20">
        <v>193500</v>
      </c>
      <c r="H83" s="20"/>
      <c r="I83" s="20"/>
      <c r="J83" s="496"/>
      <c r="K83" s="500"/>
      <c r="L83" s="502"/>
      <c r="M83" s="506"/>
    </row>
    <row r="84" spans="1:13" s="6" customFormat="1" ht="26" hidden="1" outlineLevel="1" x14ac:dyDescent="0.35">
      <c r="A84" s="235">
        <v>5</v>
      </c>
      <c r="B84" s="235" t="s">
        <v>22</v>
      </c>
      <c r="C84" s="45" t="s">
        <v>104</v>
      </c>
      <c r="D84" s="45" t="s">
        <v>167</v>
      </c>
      <c r="E84" s="2" t="s">
        <v>65</v>
      </c>
      <c r="F84" s="20">
        <v>120000</v>
      </c>
      <c r="G84" s="20"/>
      <c r="H84" s="20"/>
      <c r="I84" s="20"/>
      <c r="J84" s="3" t="s">
        <v>104</v>
      </c>
      <c r="K84" s="214">
        <v>120000</v>
      </c>
      <c r="L84" s="219">
        <f t="shared" si="23"/>
        <v>1</v>
      </c>
      <c r="M84" s="3"/>
    </row>
    <row r="85" spans="1:13" s="6" customFormat="1" ht="104" hidden="1" outlineLevel="1" x14ac:dyDescent="0.35">
      <c r="A85" s="493">
        <v>6</v>
      </c>
      <c r="B85" s="493" t="s">
        <v>22</v>
      </c>
      <c r="C85" s="495" t="s">
        <v>173</v>
      </c>
      <c r="D85" s="495" t="s">
        <v>167</v>
      </c>
      <c r="E85" s="2" t="s">
        <v>65</v>
      </c>
      <c r="F85" s="84">
        <v>1441295</v>
      </c>
      <c r="G85" s="20">
        <v>1526312</v>
      </c>
      <c r="H85" s="20">
        <v>2008847</v>
      </c>
      <c r="I85" s="20">
        <v>2080245</v>
      </c>
      <c r="J85" s="3" t="s">
        <v>174</v>
      </c>
      <c r="K85" s="499">
        <f>78807747+31699</f>
        <v>78839446</v>
      </c>
      <c r="L85" s="501">
        <f>(F85+F86+F87)/K85</f>
        <v>2.6806416168880739E-2</v>
      </c>
      <c r="M85" s="503" t="s">
        <v>175</v>
      </c>
    </row>
    <row r="86" spans="1:13" s="6" customFormat="1" ht="65" hidden="1" outlineLevel="1" x14ac:dyDescent="0.35">
      <c r="A86" s="508"/>
      <c r="B86" s="508"/>
      <c r="C86" s="509"/>
      <c r="D86" s="509"/>
      <c r="E86" s="2" t="s">
        <v>66</v>
      </c>
      <c r="F86" s="84">
        <v>531450</v>
      </c>
      <c r="G86" s="20">
        <v>563433</v>
      </c>
      <c r="H86" s="20">
        <v>856398</v>
      </c>
      <c r="I86" s="20">
        <v>920757</v>
      </c>
      <c r="J86" s="3" t="s">
        <v>176</v>
      </c>
      <c r="K86" s="510"/>
      <c r="L86" s="511"/>
      <c r="M86" s="507"/>
    </row>
    <row r="87" spans="1:13" s="6" customFormat="1" ht="26" hidden="1" outlineLevel="1" x14ac:dyDescent="0.35">
      <c r="A87" s="494"/>
      <c r="B87" s="494"/>
      <c r="C87" s="496"/>
      <c r="D87" s="496"/>
      <c r="E87" s="2" t="s">
        <v>68</v>
      </c>
      <c r="F87" s="20">
        <v>140658</v>
      </c>
      <c r="G87" s="20">
        <v>140658</v>
      </c>
      <c r="H87" s="20">
        <v>140658</v>
      </c>
      <c r="I87" s="20">
        <v>140658</v>
      </c>
      <c r="J87" s="3"/>
      <c r="K87" s="500"/>
      <c r="L87" s="502"/>
      <c r="M87" s="504"/>
    </row>
    <row r="88" spans="1:13" s="6" customFormat="1" ht="39" hidden="1" outlineLevel="1" x14ac:dyDescent="0.35">
      <c r="A88" s="7">
        <v>7</v>
      </c>
      <c r="B88" s="7" t="s">
        <v>22</v>
      </c>
      <c r="C88" s="3" t="s">
        <v>177</v>
      </c>
      <c r="D88" s="3" t="s">
        <v>178</v>
      </c>
      <c r="E88" s="2" t="s">
        <v>69</v>
      </c>
      <c r="F88" s="84">
        <v>1144</v>
      </c>
      <c r="G88" s="20">
        <v>1144</v>
      </c>
      <c r="H88" s="20">
        <v>1144</v>
      </c>
      <c r="I88" s="20">
        <v>1144</v>
      </c>
      <c r="J88" s="3"/>
      <c r="K88" s="214">
        <v>11144</v>
      </c>
      <c r="L88" s="219">
        <f>F88/K88</f>
        <v>0.10265613783201723</v>
      </c>
      <c r="M88" s="3"/>
    </row>
    <row r="89" spans="1:13" collapsed="1" x14ac:dyDescent="0.3">
      <c r="A89" s="457" t="s">
        <v>179</v>
      </c>
      <c r="B89" s="458"/>
      <c r="C89" s="458"/>
      <c r="D89" s="458"/>
      <c r="E89" s="459"/>
      <c r="F89" s="39">
        <f>SUM(F97:F112)</f>
        <v>9552158</v>
      </c>
      <c r="G89" s="39">
        <f t="shared" ref="G89:H89" si="24">SUM(G97:G112)</f>
        <v>9552158</v>
      </c>
      <c r="H89" s="39">
        <f t="shared" si="24"/>
        <v>9552158</v>
      </c>
      <c r="I89" s="39">
        <f>SUM(I97:I112)</f>
        <v>9552158</v>
      </c>
      <c r="J89" s="141"/>
      <c r="K89" s="226"/>
      <c r="L89" s="220"/>
      <c r="M89" s="142"/>
    </row>
    <row r="90" spans="1:13" x14ac:dyDescent="0.3">
      <c r="A90" s="460" t="s">
        <v>180</v>
      </c>
      <c r="B90" s="461"/>
      <c r="C90" s="461"/>
      <c r="D90" s="461"/>
      <c r="E90" s="462"/>
      <c r="F90" s="40">
        <v>9552158</v>
      </c>
      <c r="G90" s="86"/>
      <c r="H90" s="86"/>
      <c r="I90" s="86"/>
      <c r="J90" s="143"/>
      <c r="K90" s="227"/>
      <c r="L90" s="221"/>
      <c r="M90" s="144"/>
    </row>
    <row r="91" spans="1:13" x14ac:dyDescent="0.3">
      <c r="A91" s="463" t="s">
        <v>181</v>
      </c>
      <c r="B91" s="464"/>
      <c r="C91" s="464"/>
      <c r="D91" s="464"/>
      <c r="E91" s="465"/>
      <c r="F91" s="42">
        <f>F90-F89</f>
        <v>0</v>
      </c>
      <c r="G91" s="87"/>
      <c r="H91" s="87"/>
      <c r="I91" s="87"/>
      <c r="J91" s="143"/>
      <c r="K91" s="227"/>
      <c r="L91" s="221"/>
      <c r="M91" s="144"/>
    </row>
    <row r="92" spans="1:13" x14ac:dyDescent="0.3">
      <c r="A92" s="475" t="s">
        <v>65</v>
      </c>
      <c r="B92" s="476"/>
      <c r="C92" s="476"/>
      <c r="D92" s="476"/>
      <c r="E92" s="477"/>
      <c r="F92" s="363">
        <f>F98+F99+F107+F109</f>
        <v>783660</v>
      </c>
      <c r="G92" s="363">
        <f t="shared" ref="G92:H92" si="25">G98+G99+G107+G109</f>
        <v>426900</v>
      </c>
      <c r="H92" s="363">
        <f t="shared" si="25"/>
        <v>426900</v>
      </c>
      <c r="I92" s="363">
        <f>I98+I99+I107+I110</f>
        <v>646263</v>
      </c>
      <c r="J92" s="327"/>
      <c r="K92" s="368"/>
      <c r="L92" s="369"/>
      <c r="M92" s="366"/>
    </row>
    <row r="93" spans="1:13" x14ac:dyDescent="0.3">
      <c r="A93" s="475" t="s">
        <v>66</v>
      </c>
      <c r="B93" s="476"/>
      <c r="C93" s="476"/>
      <c r="D93" s="476"/>
      <c r="E93" s="477"/>
      <c r="F93" s="363">
        <f>F100+F102+F105+F108+F110</f>
        <v>3386598</v>
      </c>
      <c r="G93" s="363">
        <f t="shared" ref="G93:H93" si="26">G100+G102+G105+G108+G110</f>
        <v>298643</v>
      </c>
      <c r="H93" s="363">
        <f t="shared" si="26"/>
        <v>298643</v>
      </c>
      <c r="I93" s="363">
        <f>I100+I102+I105+I108+I110</f>
        <v>298643</v>
      </c>
      <c r="J93" s="327"/>
      <c r="K93" s="368"/>
      <c r="L93" s="369"/>
      <c r="M93" s="366"/>
    </row>
    <row r="94" spans="1:13" x14ac:dyDescent="0.3">
      <c r="A94" s="475" t="s">
        <v>67</v>
      </c>
      <c r="B94" s="476"/>
      <c r="C94" s="476"/>
      <c r="D94" s="476"/>
      <c r="E94" s="477"/>
      <c r="F94" s="363">
        <f>F97+F101+F103+F111+F112</f>
        <v>5260000</v>
      </c>
      <c r="G94" s="363">
        <f t="shared" ref="G94:I94" si="27">G97+G101+G103+G111+G112</f>
        <v>8704715</v>
      </c>
      <c r="H94" s="363">
        <f t="shared" si="27"/>
        <v>8704715</v>
      </c>
      <c r="I94" s="363">
        <f t="shared" si="27"/>
        <v>8704715</v>
      </c>
      <c r="J94" s="327"/>
      <c r="K94" s="368"/>
      <c r="L94" s="369"/>
      <c r="M94" s="366"/>
    </row>
    <row r="95" spans="1:13" x14ac:dyDescent="0.3">
      <c r="A95" s="475" t="s">
        <v>68</v>
      </c>
      <c r="B95" s="476"/>
      <c r="C95" s="476"/>
      <c r="D95" s="476"/>
      <c r="E95" s="477"/>
      <c r="F95" s="363">
        <f>F104</f>
        <v>81900</v>
      </c>
      <c r="G95" s="363">
        <f t="shared" ref="G95:I95" si="28">G104</f>
        <v>81900</v>
      </c>
      <c r="H95" s="363">
        <f t="shared" si="28"/>
        <v>81900</v>
      </c>
      <c r="I95" s="363">
        <f t="shared" si="28"/>
        <v>81900</v>
      </c>
      <c r="J95" s="327"/>
      <c r="K95" s="368"/>
      <c r="L95" s="369"/>
      <c r="M95" s="366"/>
    </row>
    <row r="96" spans="1:13" x14ac:dyDescent="0.3">
      <c r="A96" s="475" t="s">
        <v>70</v>
      </c>
      <c r="B96" s="476"/>
      <c r="C96" s="476"/>
      <c r="D96" s="476"/>
      <c r="E96" s="477"/>
      <c r="F96" s="363">
        <f>F106</f>
        <v>40000</v>
      </c>
      <c r="G96" s="363">
        <f t="shared" ref="G96:I96" si="29">G106</f>
        <v>40000</v>
      </c>
      <c r="H96" s="363">
        <f t="shared" si="29"/>
        <v>40000</v>
      </c>
      <c r="I96" s="363">
        <f t="shared" si="29"/>
        <v>40000</v>
      </c>
      <c r="J96" s="327"/>
      <c r="K96" s="368"/>
      <c r="L96" s="369"/>
      <c r="M96" s="366"/>
    </row>
    <row r="97" spans="1:13" s="6" customFormat="1" ht="78" hidden="1" outlineLevel="1" x14ac:dyDescent="0.35">
      <c r="A97" s="7">
        <v>1</v>
      </c>
      <c r="B97" s="21" t="s">
        <v>23</v>
      </c>
      <c r="C97" s="2" t="s">
        <v>182</v>
      </c>
      <c r="D97" s="2" t="s">
        <v>183</v>
      </c>
      <c r="E97" s="2" t="s">
        <v>67</v>
      </c>
      <c r="F97" s="88">
        <v>220000</v>
      </c>
      <c r="G97" s="88">
        <v>220000</v>
      </c>
      <c r="H97" s="88">
        <v>220000</v>
      </c>
      <c r="I97" s="88">
        <v>220000</v>
      </c>
      <c r="J97" s="3"/>
      <c r="K97" s="310">
        <v>220000</v>
      </c>
      <c r="L97" s="311">
        <f t="shared" si="23"/>
        <v>1</v>
      </c>
      <c r="M97" s="3"/>
    </row>
    <row r="98" spans="1:13" s="6" customFormat="1" ht="409.5" hidden="1" outlineLevel="1" x14ac:dyDescent="0.35">
      <c r="A98" s="7">
        <v>2</v>
      </c>
      <c r="B98" s="21" t="s">
        <v>23</v>
      </c>
      <c r="C98" s="2" t="s">
        <v>184</v>
      </c>
      <c r="D98" s="2" t="s">
        <v>185</v>
      </c>
      <c r="E98" s="2" t="s">
        <v>65</v>
      </c>
      <c r="F98" s="89">
        <v>400900</v>
      </c>
      <c r="G98" s="89">
        <v>400900</v>
      </c>
      <c r="H98" s="89">
        <v>400900</v>
      </c>
      <c r="I98" s="89">
        <v>400900</v>
      </c>
      <c r="J98" s="3"/>
      <c r="K98" s="334">
        <v>400900</v>
      </c>
      <c r="L98" s="311">
        <f t="shared" si="23"/>
        <v>1</v>
      </c>
      <c r="M98" s="291" t="s">
        <v>186</v>
      </c>
    </row>
    <row r="99" spans="1:13" s="6" customFormat="1" ht="14.5" hidden="1" customHeight="1" outlineLevel="1" x14ac:dyDescent="0.35">
      <c r="A99" s="493">
        <v>3</v>
      </c>
      <c r="B99" s="497" t="s">
        <v>23</v>
      </c>
      <c r="C99" s="497" t="s">
        <v>187</v>
      </c>
      <c r="D99" s="497" t="s">
        <v>188</v>
      </c>
      <c r="E99" s="2" t="s">
        <v>65</v>
      </c>
      <c r="F99" s="89">
        <v>26000</v>
      </c>
      <c r="G99" s="89">
        <v>26000</v>
      </c>
      <c r="H99" s="89">
        <v>26000</v>
      </c>
      <c r="I99" s="89">
        <v>26000</v>
      </c>
      <c r="J99" s="495" t="s">
        <v>189</v>
      </c>
      <c r="K99" s="310">
        <v>1633466</v>
      </c>
      <c r="L99" s="311">
        <f t="shared" si="23"/>
        <v>1.5917074490684226E-2</v>
      </c>
      <c r="M99" s="318"/>
    </row>
    <row r="100" spans="1:13" s="6" customFormat="1" ht="108.65" hidden="1" customHeight="1" outlineLevel="1" x14ac:dyDescent="0.35">
      <c r="A100" s="494"/>
      <c r="B100" s="498"/>
      <c r="C100" s="498"/>
      <c r="D100" s="498"/>
      <c r="E100" s="2" t="s">
        <v>66</v>
      </c>
      <c r="F100" s="89">
        <v>79280</v>
      </c>
      <c r="G100" s="89">
        <v>79280</v>
      </c>
      <c r="H100" s="89">
        <v>79280</v>
      </c>
      <c r="I100" s="89">
        <v>79280</v>
      </c>
      <c r="J100" s="496"/>
      <c r="K100" s="310">
        <v>414080</v>
      </c>
      <c r="L100" s="311">
        <f t="shared" si="23"/>
        <v>0.19146058732612056</v>
      </c>
      <c r="M100" s="318"/>
    </row>
    <row r="101" spans="1:13" s="6" customFormat="1" ht="91" hidden="1" outlineLevel="1" x14ac:dyDescent="0.35">
      <c r="A101" s="7">
        <v>4</v>
      </c>
      <c r="B101" s="21" t="s">
        <v>23</v>
      </c>
      <c r="C101" s="2" t="s">
        <v>190</v>
      </c>
      <c r="D101" s="2" t="s">
        <v>191</v>
      </c>
      <c r="E101" s="2" t="s">
        <v>67</v>
      </c>
      <c r="F101" s="88">
        <v>40000</v>
      </c>
      <c r="G101" s="88">
        <v>40000</v>
      </c>
      <c r="H101" s="88">
        <v>40000</v>
      </c>
      <c r="I101" s="88">
        <v>40000</v>
      </c>
      <c r="J101" s="3"/>
      <c r="K101" s="310">
        <v>386477</v>
      </c>
      <c r="L101" s="311">
        <f t="shared" si="23"/>
        <v>0.10349904392758172</v>
      </c>
      <c r="M101" s="318"/>
    </row>
    <row r="102" spans="1:13" s="6" customFormat="1" ht="143" hidden="1" outlineLevel="1" x14ac:dyDescent="0.35">
      <c r="A102" s="7">
        <v>5</v>
      </c>
      <c r="B102" s="21" t="s">
        <v>23</v>
      </c>
      <c r="C102" s="2" t="s">
        <v>192</v>
      </c>
      <c r="D102" s="2" t="s">
        <v>193</v>
      </c>
      <c r="E102" s="2" t="s">
        <v>66</v>
      </c>
      <c r="F102" s="89">
        <v>643955</v>
      </c>
      <c r="G102" s="89"/>
      <c r="H102" s="89"/>
      <c r="I102" s="89"/>
      <c r="J102" s="3"/>
      <c r="K102" s="310">
        <v>2878827</v>
      </c>
      <c r="L102" s="311">
        <f>F102/K102</f>
        <v>0.22368659179589465</v>
      </c>
      <c r="M102" s="318" t="s">
        <v>194</v>
      </c>
    </row>
    <row r="103" spans="1:13" s="6" customFormat="1" ht="39" hidden="1" outlineLevel="1" x14ac:dyDescent="0.35">
      <c r="A103" s="7">
        <v>6</v>
      </c>
      <c r="B103" s="21" t="s">
        <v>23</v>
      </c>
      <c r="C103" s="2" t="s">
        <v>195</v>
      </c>
      <c r="D103" s="2" t="s">
        <v>196</v>
      </c>
      <c r="E103" s="2" t="s">
        <v>67</v>
      </c>
      <c r="F103" s="88">
        <v>5000000</v>
      </c>
      <c r="G103" s="88">
        <v>5000000</v>
      </c>
      <c r="H103" s="88">
        <v>5000000</v>
      </c>
      <c r="I103" s="88">
        <v>5000000</v>
      </c>
      <c r="J103" s="3"/>
      <c r="K103" s="310">
        <v>23616074</v>
      </c>
      <c r="L103" s="311">
        <f t="shared" si="23"/>
        <v>0.21172020379001183</v>
      </c>
      <c r="M103" s="318" t="s">
        <v>197</v>
      </c>
    </row>
    <row r="104" spans="1:13" s="6" customFormat="1" ht="104" hidden="1" outlineLevel="1" x14ac:dyDescent="0.35">
      <c r="A104" s="7">
        <v>7</v>
      </c>
      <c r="B104" s="21" t="s">
        <v>23</v>
      </c>
      <c r="C104" s="2" t="s">
        <v>198</v>
      </c>
      <c r="D104" s="2" t="s">
        <v>199</v>
      </c>
      <c r="E104" s="2" t="s">
        <v>68</v>
      </c>
      <c r="F104" s="88">
        <v>81900</v>
      </c>
      <c r="G104" s="88">
        <v>81900</v>
      </c>
      <c r="H104" s="88">
        <v>81900</v>
      </c>
      <c r="I104" s="88">
        <v>81900</v>
      </c>
      <c r="J104" s="3"/>
      <c r="K104" s="310">
        <v>947636</v>
      </c>
      <c r="L104" s="311">
        <f t="shared" si="23"/>
        <v>8.6425589572367442E-2</v>
      </c>
      <c r="M104" s="318"/>
    </row>
    <row r="105" spans="1:13" s="6" customFormat="1" ht="117" hidden="1" outlineLevel="1" x14ac:dyDescent="0.35">
      <c r="A105" s="7">
        <v>8</v>
      </c>
      <c r="B105" s="21" t="s">
        <v>23</v>
      </c>
      <c r="C105" s="2" t="s">
        <v>200</v>
      </c>
      <c r="D105" s="2" t="s">
        <v>201</v>
      </c>
      <c r="E105" s="2" t="s">
        <v>66</v>
      </c>
      <c r="F105" s="89">
        <v>960000</v>
      </c>
      <c r="G105" s="89"/>
      <c r="H105" s="89"/>
      <c r="I105" s="89"/>
      <c r="J105" s="3"/>
      <c r="K105" s="310">
        <v>2939413</v>
      </c>
      <c r="L105" s="311">
        <f t="shared" si="23"/>
        <v>0.32659582032194862</v>
      </c>
      <c r="M105" s="318" t="s">
        <v>202</v>
      </c>
    </row>
    <row r="106" spans="1:13" s="6" customFormat="1" ht="117" hidden="1" outlineLevel="1" x14ac:dyDescent="0.35">
      <c r="A106" s="7">
        <v>9</v>
      </c>
      <c r="B106" s="21" t="s">
        <v>23</v>
      </c>
      <c r="C106" s="2" t="s">
        <v>203</v>
      </c>
      <c r="D106" s="2" t="s">
        <v>204</v>
      </c>
      <c r="E106" s="2" t="s">
        <v>205</v>
      </c>
      <c r="F106" s="89">
        <v>40000</v>
      </c>
      <c r="G106" s="89">
        <v>40000</v>
      </c>
      <c r="H106" s="89">
        <v>40000</v>
      </c>
      <c r="I106" s="89">
        <v>40000</v>
      </c>
      <c r="J106" s="3"/>
      <c r="K106" s="92">
        <v>40000</v>
      </c>
      <c r="L106" s="335">
        <f t="shared" si="23"/>
        <v>1</v>
      </c>
      <c r="M106" s="291"/>
    </row>
    <row r="107" spans="1:13" s="6" customFormat="1" ht="14.5" hidden="1" customHeight="1" outlineLevel="1" x14ac:dyDescent="0.35">
      <c r="A107" s="493">
        <v>10</v>
      </c>
      <c r="B107" s="497" t="s">
        <v>23</v>
      </c>
      <c r="C107" s="512" t="s">
        <v>206</v>
      </c>
      <c r="D107" s="497" t="s">
        <v>207</v>
      </c>
      <c r="E107" s="2" t="s">
        <v>65</v>
      </c>
      <c r="F107" s="89">
        <v>175000</v>
      </c>
      <c r="G107" s="89"/>
      <c r="H107" s="89"/>
      <c r="I107" s="89"/>
      <c r="J107" s="3"/>
      <c r="K107" s="336">
        <v>175000</v>
      </c>
      <c r="L107" s="335">
        <f t="shared" si="23"/>
        <v>1</v>
      </c>
      <c r="M107" s="291"/>
    </row>
    <row r="108" spans="1:13" s="6" customFormat="1" ht="26" hidden="1" outlineLevel="1" x14ac:dyDescent="0.35">
      <c r="A108" s="494"/>
      <c r="B108" s="498"/>
      <c r="C108" s="513"/>
      <c r="D108" s="498"/>
      <c r="E108" s="2" t="s">
        <v>208</v>
      </c>
      <c r="F108" s="89">
        <v>1484000</v>
      </c>
      <c r="G108" s="89"/>
      <c r="H108" s="89"/>
      <c r="I108" s="89"/>
      <c r="J108" s="3"/>
      <c r="K108" s="336">
        <v>1484000</v>
      </c>
      <c r="L108" s="335">
        <f t="shared" si="23"/>
        <v>1</v>
      </c>
      <c r="M108" s="291"/>
    </row>
    <row r="109" spans="1:13" s="6" customFormat="1" ht="14.5" hidden="1" customHeight="1" outlineLevel="1" x14ac:dyDescent="0.35">
      <c r="A109" s="493">
        <v>11</v>
      </c>
      <c r="B109" s="497" t="s">
        <v>23</v>
      </c>
      <c r="C109" s="495" t="s">
        <v>209</v>
      </c>
      <c r="D109" s="497" t="s">
        <v>210</v>
      </c>
      <c r="E109" s="2" t="s">
        <v>211</v>
      </c>
      <c r="F109" s="89">
        <v>181760</v>
      </c>
      <c r="G109" s="89"/>
      <c r="H109" s="89"/>
      <c r="J109" s="3"/>
      <c r="K109" s="337">
        <v>181760</v>
      </c>
      <c r="L109" s="335">
        <f t="shared" si="23"/>
        <v>1</v>
      </c>
      <c r="M109" s="291"/>
    </row>
    <row r="110" spans="1:13" s="6" customFormat="1" ht="26" hidden="1" outlineLevel="1" x14ac:dyDescent="0.35">
      <c r="A110" s="494"/>
      <c r="B110" s="498"/>
      <c r="C110" s="496"/>
      <c r="D110" s="498"/>
      <c r="E110" s="2" t="s">
        <v>66</v>
      </c>
      <c r="F110" s="89">
        <v>219363</v>
      </c>
      <c r="G110" s="89">
        <v>219363</v>
      </c>
      <c r="H110" s="89">
        <v>219363</v>
      </c>
      <c r="I110" s="89">
        <v>219363</v>
      </c>
      <c r="J110" s="3"/>
      <c r="K110" s="338">
        <v>3882253</v>
      </c>
      <c r="L110" s="335">
        <f t="shared" si="23"/>
        <v>5.6504045460200561E-2</v>
      </c>
      <c r="M110" s="291"/>
    </row>
    <row r="111" spans="1:13" s="6" customFormat="1" ht="26" hidden="1" outlineLevel="1" x14ac:dyDescent="0.35">
      <c r="A111" s="206">
        <v>12</v>
      </c>
      <c r="B111" s="207" t="s">
        <v>23</v>
      </c>
      <c r="C111" s="2" t="s">
        <v>212</v>
      </c>
      <c r="D111" s="21" t="s">
        <v>207</v>
      </c>
      <c r="E111" s="2" t="s">
        <v>67</v>
      </c>
      <c r="F111" s="89"/>
      <c r="G111" s="20">
        <v>3444715</v>
      </c>
      <c r="H111" s="84">
        <v>3244715</v>
      </c>
      <c r="I111" s="229">
        <v>3444715</v>
      </c>
      <c r="J111" s="3"/>
      <c r="K111" s="92">
        <v>40000000</v>
      </c>
      <c r="L111" s="335">
        <f t="shared" si="23"/>
        <v>0</v>
      </c>
      <c r="M111" s="291"/>
    </row>
    <row r="112" spans="1:13" s="6" customFormat="1" ht="26" hidden="1" outlineLevel="1" x14ac:dyDescent="0.35">
      <c r="A112" s="206">
        <v>13</v>
      </c>
      <c r="B112" s="207" t="s">
        <v>23</v>
      </c>
      <c r="C112" s="2" t="s">
        <v>213</v>
      </c>
      <c r="D112" s="21" t="s">
        <v>207</v>
      </c>
      <c r="E112" s="2" t="s">
        <v>67</v>
      </c>
      <c r="F112" s="89"/>
      <c r="G112" s="20"/>
      <c r="H112" s="84">
        <v>200000</v>
      </c>
      <c r="I112" s="89"/>
      <c r="J112" s="3"/>
      <c r="K112" s="92">
        <v>0</v>
      </c>
      <c r="L112" s="335">
        <v>0</v>
      </c>
      <c r="M112" s="291"/>
    </row>
    <row r="113" spans="1:13" collapsed="1" x14ac:dyDescent="0.3">
      <c r="A113" s="457" t="s">
        <v>214</v>
      </c>
      <c r="B113" s="458"/>
      <c r="C113" s="458"/>
      <c r="D113" s="458"/>
      <c r="E113" s="459"/>
      <c r="F113" s="39">
        <f>SUM(F120:F174)</f>
        <v>17108350</v>
      </c>
      <c r="G113" s="39">
        <f t="shared" ref="G113:I113" si="30">SUM(G120:G174)</f>
        <v>17108350</v>
      </c>
      <c r="H113" s="39">
        <f t="shared" si="30"/>
        <v>17108350</v>
      </c>
      <c r="I113" s="39">
        <f t="shared" si="30"/>
        <v>17108350</v>
      </c>
      <c r="J113" s="141"/>
      <c r="K113" s="226"/>
      <c r="L113" s="220"/>
      <c r="M113" s="142"/>
    </row>
    <row r="114" spans="1:13" x14ac:dyDescent="0.3">
      <c r="A114" s="460" t="s">
        <v>215</v>
      </c>
      <c r="B114" s="461"/>
      <c r="C114" s="461"/>
      <c r="D114" s="461"/>
      <c r="E114" s="462"/>
      <c r="F114" s="40">
        <v>17108350</v>
      </c>
      <c r="G114" s="86"/>
      <c r="H114" s="86"/>
      <c r="I114" s="86"/>
      <c r="J114" s="143"/>
      <c r="K114" s="227"/>
      <c r="L114" s="221"/>
      <c r="M114" s="144"/>
    </row>
    <row r="115" spans="1:13" x14ac:dyDescent="0.3">
      <c r="A115" s="463" t="s">
        <v>216</v>
      </c>
      <c r="B115" s="464"/>
      <c r="C115" s="464"/>
      <c r="D115" s="464"/>
      <c r="E115" s="465"/>
      <c r="F115" s="42">
        <f>F114-F113</f>
        <v>0</v>
      </c>
      <c r="G115" s="87"/>
      <c r="H115" s="87"/>
      <c r="I115" s="87"/>
      <c r="J115" s="143"/>
      <c r="K115" s="227"/>
      <c r="L115" s="221"/>
      <c r="M115" s="144"/>
    </row>
    <row r="116" spans="1:13" x14ac:dyDescent="0.3">
      <c r="A116" s="475" t="s">
        <v>65</v>
      </c>
      <c r="B116" s="476"/>
      <c r="C116" s="476"/>
      <c r="D116" s="476"/>
      <c r="E116" s="477"/>
      <c r="F116" s="363">
        <f>F130+F133+F134+F135+F136+F137+F138+F166+F159</f>
        <v>9692063</v>
      </c>
      <c r="G116" s="363">
        <f t="shared" ref="G116:I116" si="31">G130+G133+G134+G135+G136+G137+G138+G166+G159</f>
        <v>9692063</v>
      </c>
      <c r="H116" s="363">
        <f t="shared" si="31"/>
        <v>9692063</v>
      </c>
      <c r="I116" s="363">
        <f t="shared" si="31"/>
        <v>9692063</v>
      </c>
      <c r="J116" s="327"/>
      <c r="K116" s="368"/>
      <c r="L116" s="369"/>
      <c r="M116" s="366"/>
    </row>
    <row r="117" spans="1:13" x14ac:dyDescent="0.3">
      <c r="A117" s="475" t="s">
        <v>66</v>
      </c>
      <c r="B117" s="476"/>
      <c r="C117" s="476"/>
      <c r="D117" s="476"/>
      <c r="E117" s="477"/>
      <c r="F117" s="363">
        <f>F120+F121+F122+F123+F124+F125+F126+F127+F131+F139+F140+F141+F142+F143+F144+F145+F146+F152+F153+F154+F155+F156+F157+F160+F161+F162+F163+F167+F168+F169+F170+F171+F172</f>
        <v>4473240</v>
      </c>
      <c r="G117" s="363">
        <f t="shared" ref="G117:I117" si="32">G120+G121+G122+G123+G124+G125+G126+G127+G131+G139+G140+G141+G142+G143+G144+G145+G146+G152+G153+G154+G155+G156+G157+G160+G161+G162+G163+G167+G168+G169+G170+G171+G172</f>
        <v>4979476</v>
      </c>
      <c r="H117" s="363">
        <f t="shared" si="32"/>
        <v>4635945</v>
      </c>
      <c r="I117" s="363">
        <f t="shared" si="32"/>
        <v>4554924</v>
      </c>
      <c r="J117" s="327"/>
      <c r="K117" s="368"/>
      <c r="L117" s="369"/>
      <c r="M117" s="366"/>
    </row>
    <row r="118" spans="1:13" x14ac:dyDescent="0.3">
      <c r="A118" s="475" t="s">
        <v>67</v>
      </c>
      <c r="B118" s="476"/>
      <c r="C118" s="476"/>
      <c r="D118" s="476"/>
      <c r="E118" s="477"/>
      <c r="F118" s="363">
        <f>F165</f>
        <v>7495</v>
      </c>
      <c r="G118" s="363">
        <f t="shared" ref="G118:I118" si="33">G165</f>
        <v>7495</v>
      </c>
      <c r="H118" s="363">
        <f t="shared" si="33"/>
        <v>7495</v>
      </c>
      <c r="I118" s="363">
        <f t="shared" si="33"/>
        <v>7495</v>
      </c>
      <c r="J118" s="327"/>
      <c r="K118" s="368"/>
      <c r="L118" s="369"/>
      <c r="M118" s="366"/>
    </row>
    <row r="119" spans="1:13" x14ac:dyDescent="0.3">
      <c r="A119" s="475" t="s">
        <v>68</v>
      </c>
      <c r="B119" s="476"/>
      <c r="C119" s="476"/>
      <c r="D119" s="476"/>
      <c r="E119" s="477"/>
      <c r="F119" s="363">
        <f>F128+F129+F132+F147+F148+F149+F150+F151+F158+F164+F173+F174</f>
        <v>2935552</v>
      </c>
      <c r="G119" s="363">
        <f t="shared" ref="G119:I119" si="34">G128+G129+G132+G147+G148+G149+G150+G151+G158+G164+G173+G174</f>
        <v>2429316</v>
      </c>
      <c r="H119" s="363">
        <f t="shared" si="34"/>
        <v>2772847</v>
      </c>
      <c r="I119" s="363">
        <f t="shared" si="34"/>
        <v>2853868</v>
      </c>
      <c r="J119" s="327"/>
      <c r="K119" s="368"/>
      <c r="L119" s="369"/>
      <c r="M119" s="366"/>
    </row>
    <row r="120" spans="1:13" s="6" customFormat="1" ht="26" hidden="1" outlineLevel="1" x14ac:dyDescent="0.35">
      <c r="A120" s="7">
        <v>1</v>
      </c>
      <c r="B120" s="21" t="s">
        <v>24</v>
      </c>
      <c r="C120" s="49" t="s">
        <v>217</v>
      </c>
      <c r="D120" s="49" t="s">
        <v>218</v>
      </c>
      <c r="E120" s="49" t="s">
        <v>66</v>
      </c>
      <c r="F120" s="90">
        <v>16600</v>
      </c>
      <c r="G120" s="91">
        <v>66400</v>
      </c>
      <c r="H120" s="91">
        <v>66400</v>
      </c>
      <c r="I120" s="91">
        <v>66400</v>
      </c>
      <c r="J120" s="53"/>
      <c r="K120" s="339">
        <v>246650</v>
      </c>
      <c r="L120" s="311">
        <f t="shared" ref="L120:L174" si="35">F120/K120</f>
        <v>6.730184471923778E-2</v>
      </c>
      <c r="M120" s="53" t="s">
        <v>219</v>
      </c>
    </row>
    <row r="121" spans="1:13" s="6" customFormat="1" ht="39" hidden="1" outlineLevel="1" x14ac:dyDescent="0.35">
      <c r="A121" s="7">
        <v>2</v>
      </c>
      <c r="B121" s="21" t="s">
        <v>24</v>
      </c>
      <c r="C121" s="49" t="s">
        <v>220</v>
      </c>
      <c r="D121" s="49" t="s">
        <v>218</v>
      </c>
      <c r="E121" s="49" t="s">
        <v>66</v>
      </c>
      <c r="F121" s="90">
        <f>1718+1029+780</f>
        <v>3527</v>
      </c>
      <c r="G121" s="91"/>
      <c r="H121" s="91"/>
      <c r="I121" s="91"/>
      <c r="J121" s="53"/>
      <c r="K121" s="339">
        <v>35262</v>
      </c>
      <c r="L121" s="311">
        <f t="shared" si="35"/>
        <v>0.1000226873121207</v>
      </c>
      <c r="M121" s="53" t="s">
        <v>221</v>
      </c>
    </row>
    <row r="122" spans="1:13" s="6" customFormat="1" ht="39" hidden="1" outlineLevel="1" x14ac:dyDescent="0.35">
      <c r="A122" s="7">
        <v>3</v>
      </c>
      <c r="B122" s="21" t="s">
        <v>24</v>
      </c>
      <c r="C122" s="49" t="s">
        <v>222</v>
      </c>
      <c r="D122" s="49" t="s">
        <v>218</v>
      </c>
      <c r="E122" s="49" t="s">
        <v>66</v>
      </c>
      <c r="F122" s="90">
        <v>626608</v>
      </c>
      <c r="G122" s="91">
        <v>812275</v>
      </c>
      <c r="H122" s="91">
        <v>400955</v>
      </c>
      <c r="I122" s="91">
        <v>235974</v>
      </c>
      <c r="J122" s="53"/>
      <c r="K122" s="339">
        <v>947482</v>
      </c>
      <c r="L122" s="311">
        <f t="shared" si="35"/>
        <v>0.66134026820562286</v>
      </c>
      <c r="M122" s="53" t="s">
        <v>223</v>
      </c>
    </row>
    <row r="123" spans="1:13" s="6" customFormat="1" ht="26" hidden="1" outlineLevel="1" x14ac:dyDescent="0.35">
      <c r="A123" s="7">
        <v>4</v>
      </c>
      <c r="B123" s="21" t="s">
        <v>24</v>
      </c>
      <c r="C123" s="49" t="s">
        <v>224</v>
      </c>
      <c r="D123" s="49" t="s">
        <v>218</v>
      </c>
      <c r="E123" s="49" t="s">
        <v>66</v>
      </c>
      <c r="F123" s="90">
        <v>30000</v>
      </c>
      <c r="G123" s="91">
        <v>30000</v>
      </c>
      <c r="H123" s="91">
        <v>30000</v>
      </c>
      <c r="I123" s="91">
        <v>30000</v>
      </c>
      <c r="J123" s="53"/>
      <c r="K123" s="339">
        <v>100000</v>
      </c>
      <c r="L123" s="311">
        <f t="shared" si="35"/>
        <v>0.3</v>
      </c>
      <c r="M123" s="53" t="s">
        <v>225</v>
      </c>
    </row>
    <row r="124" spans="1:13" s="6" customFormat="1" ht="39" hidden="1" outlineLevel="1" x14ac:dyDescent="0.35">
      <c r="A124" s="7">
        <v>5</v>
      </c>
      <c r="B124" s="21" t="s">
        <v>24</v>
      </c>
      <c r="C124" s="49" t="s">
        <v>226</v>
      </c>
      <c r="D124" s="49" t="s">
        <v>218</v>
      </c>
      <c r="E124" s="49" t="s">
        <v>66</v>
      </c>
      <c r="F124" s="90">
        <v>24570</v>
      </c>
      <c r="G124" s="91">
        <v>24570</v>
      </c>
      <c r="H124" s="91">
        <v>24570</v>
      </c>
      <c r="I124" s="91">
        <v>24570</v>
      </c>
      <c r="J124" s="53"/>
      <c r="K124" s="339">
        <v>81900</v>
      </c>
      <c r="L124" s="311">
        <f t="shared" si="35"/>
        <v>0.3</v>
      </c>
      <c r="M124" s="53" t="s">
        <v>227</v>
      </c>
    </row>
    <row r="125" spans="1:13" s="6" customFormat="1" ht="26" hidden="1" outlineLevel="1" x14ac:dyDescent="0.35">
      <c r="A125" s="7">
        <v>6</v>
      </c>
      <c r="B125" s="21" t="s">
        <v>24</v>
      </c>
      <c r="C125" s="49" t="s">
        <v>228</v>
      </c>
      <c r="D125" s="49" t="s">
        <v>218</v>
      </c>
      <c r="E125" s="49" t="s">
        <v>66</v>
      </c>
      <c r="F125" s="90">
        <v>28700</v>
      </c>
      <c r="G125" s="91">
        <v>28900</v>
      </c>
      <c r="H125" s="91">
        <v>29200</v>
      </c>
      <c r="I125" s="91">
        <v>29200</v>
      </c>
      <c r="J125" s="53"/>
      <c r="K125" s="339">
        <v>67000</v>
      </c>
      <c r="L125" s="311">
        <f t="shared" si="35"/>
        <v>0.42835820895522386</v>
      </c>
      <c r="M125" s="53"/>
    </row>
    <row r="126" spans="1:13" s="6" customFormat="1" ht="26" hidden="1" outlineLevel="1" x14ac:dyDescent="0.35">
      <c r="A126" s="7">
        <v>7</v>
      </c>
      <c r="B126" s="21" t="s">
        <v>24</v>
      </c>
      <c r="C126" s="49" t="s">
        <v>229</v>
      </c>
      <c r="D126" s="49" t="s">
        <v>218</v>
      </c>
      <c r="E126" s="49" t="s">
        <v>66</v>
      </c>
      <c r="F126" s="90">
        <v>17805</v>
      </c>
      <c r="G126" s="91">
        <v>21222</v>
      </c>
      <c r="H126" s="91">
        <v>21892</v>
      </c>
      <c r="I126" s="91">
        <v>21889</v>
      </c>
      <c r="J126" s="53"/>
      <c r="K126" s="339">
        <v>102244</v>
      </c>
      <c r="L126" s="311">
        <f t="shared" si="35"/>
        <v>0.17414224795587027</v>
      </c>
      <c r="M126" s="53" t="s">
        <v>230</v>
      </c>
    </row>
    <row r="127" spans="1:13" s="6" customFormat="1" ht="26" hidden="1" outlineLevel="1" x14ac:dyDescent="0.35">
      <c r="A127" s="7">
        <v>8</v>
      </c>
      <c r="B127" s="21" t="s">
        <v>24</v>
      </c>
      <c r="C127" s="49" t="s">
        <v>231</v>
      </c>
      <c r="D127" s="49" t="s">
        <v>218</v>
      </c>
      <c r="E127" s="49" t="s">
        <v>66</v>
      </c>
      <c r="F127" s="90">
        <f>3000</f>
        <v>3000</v>
      </c>
      <c r="G127" s="91">
        <f>3000+75018</f>
        <v>78018</v>
      </c>
      <c r="H127" s="91">
        <v>319037</v>
      </c>
      <c r="I127" s="91">
        <v>403000</v>
      </c>
      <c r="J127" s="53" t="s">
        <v>232</v>
      </c>
      <c r="K127" s="339">
        <v>30000</v>
      </c>
      <c r="L127" s="311">
        <f t="shared" si="35"/>
        <v>0.1</v>
      </c>
      <c r="M127" s="53" t="s">
        <v>233</v>
      </c>
    </row>
    <row r="128" spans="1:13" s="6" customFormat="1" ht="26" hidden="1" outlineLevel="1" x14ac:dyDescent="0.35">
      <c r="A128" s="7">
        <v>9</v>
      </c>
      <c r="B128" s="21" t="s">
        <v>24</v>
      </c>
      <c r="C128" s="49" t="s">
        <v>234</v>
      </c>
      <c r="D128" s="49" t="s">
        <v>218</v>
      </c>
      <c r="E128" s="49" t="s">
        <v>68</v>
      </c>
      <c r="F128" s="91">
        <v>0</v>
      </c>
      <c r="G128" s="91">
        <v>62515</v>
      </c>
      <c r="H128" s="91">
        <v>300000</v>
      </c>
      <c r="I128" s="91">
        <v>250000</v>
      </c>
      <c r="J128" s="53" t="s">
        <v>232</v>
      </c>
      <c r="K128" s="339">
        <v>0</v>
      </c>
      <c r="L128" s="311">
        <v>0</v>
      </c>
      <c r="M128" s="53" t="s">
        <v>235</v>
      </c>
    </row>
    <row r="129" spans="1:13" s="6" customFormat="1" ht="26" hidden="1" outlineLevel="1" x14ac:dyDescent="0.35">
      <c r="A129" s="7">
        <v>10</v>
      </c>
      <c r="B129" s="21" t="s">
        <v>24</v>
      </c>
      <c r="C129" s="49" t="s">
        <v>236</v>
      </c>
      <c r="D129" s="49" t="s">
        <v>218</v>
      </c>
      <c r="E129" s="49" t="s">
        <v>68</v>
      </c>
      <c r="F129" s="91">
        <v>833328</v>
      </c>
      <c r="G129" s="91">
        <v>460238</v>
      </c>
      <c r="H129" s="91">
        <v>392084</v>
      </c>
      <c r="I129" s="91">
        <v>523105</v>
      </c>
      <c r="J129" s="53"/>
      <c r="K129" s="339">
        <v>912867</v>
      </c>
      <c r="L129" s="311">
        <f t="shared" si="35"/>
        <v>0.91286901596837222</v>
      </c>
      <c r="M129" s="53" t="s">
        <v>237</v>
      </c>
    </row>
    <row r="130" spans="1:13" s="6" customFormat="1" ht="14" hidden="1" outlineLevel="1" x14ac:dyDescent="0.35">
      <c r="A130" s="7">
        <v>11</v>
      </c>
      <c r="B130" s="21" t="s">
        <v>24</v>
      </c>
      <c r="C130" s="49" t="s">
        <v>238</v>
      </c>
      <c r="D130" s="49" t="s">
        <v>239</v>
      </c>
      <c r="E130" s="49" t="s">
        <v>65</v>
      </c>
      <c r="F130" s="90">
        <v>51700</v>
      </c>
      <c r="G130" s="91">
        <v>51700</v>
      </c>
      <c r="H130" s="91">
        <v>51700</v>
      </c>
      <c r="I130" s="91">
        <v>51700</v>
      </c>
      <c r="J130" s="53"/>
      <c r="K130" s="339">
        <v>1849087</v>
      </c>
      <c r="L130" s="311">
        <f t="shared" si="35"/>
        <v>2.7959744457670192E-2</v>
      </c>
      <c r="M130" s="53" t="s">
        <v>240</v>
      </c>
    </row>
    <row r="131" spans="1:13" s="6" customFormat="1" ht="104" hidden="1" outlineLevel="1" x14ac:dyDescent="0.35">
      <c r="A131" s="7">
        <v>12</v>
      </c>
      <c r="B131" s="21" t="s">
        <v>24</v>
      </c>
      <c r="C131" s="49" t="s">
        <v>241</v>
      </c>
      <c r="D131" s="49" t="s">
        <v>239</v>
      </c>
      <c r="E131" s="49" t="s">
        <v>66</v>
      </c>
      <c r="F131" s="90">
        <v>33931</v>
      </c>
      <c r="G131" s="91">
        <v>33931</v>
      </c>
      <c r="H131" s="91">
        <v>33931</v>
      </c>
      <c r="I131" s="91">
        <v>33931</v>
      </c>
      <c r="J131" s="53"/>
      <c r="K131" s="339">
        <v>302872</v>
      </c>
      <c r="L131" s="311">
        <f t="shared" si="35"/>
        <v>0.11203082490292929</v>
      </c>
      <c r="M131" s="53" t="s">
        <v>242</v>
      </c>
    </row>
    <row r="132" spans="1:13" s="6" customFormat="1" ht="26" hidden="1" outlineLevel="1" x14ac:dyDescent="0.35">
      <c r="A132" s="7">
        <v>13</v>
      </c>
      <c r="B132" s="21" t="s">
        <v>24</v>
      </c>
      <c r="C132" s="49" t="s">
        <v>243</v>
      </c>
      <c r="D132" s="49" t="s">
        <v>239</v>
      </c>
      <c r="E132" s="49" t="s">
        <v>68</v>
      </c>
      <c r="F132" s="91">
        <v>133000</v>
      </c>
      <c r="G132" s="91">
        <v>133000</v>
      </c>
      <c r="H132" s="91">
        <v>133000</v>
      </c>
      <c r="I132" s="91">
        <v>133000</v>
      </c>
      <c r="J132" s="53"/>
      <c r="K132" s="339">
        <v>133000</v>
      </c>
      <c r="L132" s="311">
        <f t="shared" si="35"/>
        <v>1</v>
      </c>
      <c r="M132" s="53" t="s">
        <v>244</v>
      </c>
    </row>
    <row r="133" spans="1:13" s="6" customFormat="1" ht="26" hidden="1" outlineLevel="1" x14ac:dyDescent="0.35">
      <c r="A133" s="7">
        <v>14</v>
      </c>
      <c r="B133" s="21" t="s">
        <v>24</v>
      </c>
      <c r="C133" s="49" t="s">
        <v>238</v>
      </c>
      <c r="D133" s="49" t="s">
        <v>245</v>
      </c>
      <c r="E133" s="49" t="s">
        <v>65</v>
      </c>
      <c r="F133" s="90">
        <v>7845615</v>
      </c>
      <c r="G133" s="91">
        <v>7845615</v>
      </c>
      <c r="H133" s="91">
        <v>7845615</v>
      </c>
      <c r="I133" s="91">
        <v>7845615</v>
      </c>
      <c r="J133" s="53"/>
      <c r="K133" s="339">
        <v>86994295</v>
      </c>
      <c r="L133" s="311">
        <f t="shared" si="35"/>
        <v>9.0185396640090024E-2</v>
      </c>
      <c r="M133" s="53" t="s">
        <v>246</v>
      </c>
    </row>
    <row r="134" spans="1:13" s="6" customFormat="1" ht="26" hidden="1" outlineLevel="1" x14ac:dyDescent="0.35">
      <c r="A134" s="7">
        <v>15</v>
      </c>
      <c r="B134" s="21" t="s">
        <v>24</v>
      </c>
      <c r="C134" s="49" t="s">
        <v>238</v>
      </c>
      <c r="D134" s="49" t="s">
        <v>245</v>
      </c>
      <c r="E134" s="49" t="s">
        <v>65</v>
      </c>
      <c r="F134" s="90">
        <v>959545</v>
      </c>
      <c r="G134" s="91">
        <v>959545</v>
      </c>
      <c r="H134" s="91">
        <v>959545</v>
      </c>
      <c r="I134" s="91">
        <v>959545</v>
      </c>
      <c r="J134" s="53"/>
      <c r="K134" s="339">
        <v>16617174</v>
      </c>
      <c r="L134" s="311">
        <f t="shared" si="35"/>
        <v>5.7744174791694421E-2</v>
      </c>
      <c r="M134" s="53" t="s">
        <v>247</v>
      </c>
    </row>
    <row r="135" spans="1:13" s="6" customFormat="1" ht="26" hidden="1" outlineLevel="1" x14ac:dyDescent="0.35">
      <c r="A135" s="7">
        <v>16</v>
      </c>
      <c r="B135" s="21" t="s">
        <v>24</v>
      </c>
      <c r="C135" s="49" t="s">
        <v>248</v>
      </c>
      <c r="D135" s="49" t="s">
        <v>245</v>
      </c>
      <c r="E135" s="49" t="s">
        <v>65</v>
      </c>
      <c r="F135" s="90">
        <v>322415</v>
      </c>
      <c r="G135" s="91">
        <v>322415</v>
      </c>
      <c r="H135" s="91">
        <v>322415</v>
      </c>
      <c r="I135" s="91">
        <v>322415</v>
      </c>
      <c r="J135" s="53"/>
      <c r="K135" s="339">
        <v>322415</v>
      </c>
      <c r="L135" s="311">
        <f t="shared" si="35"/>
        <v>1</v>
      </c>
      <c r="M135" s="53" t="s">
        <v>249</v>
      </c>
    </row>
    <row r="136" spans="1:13" s="6" customFormat="1" ht="39" hidden="1" outlineLevel="1" x14ac:dyDescent="0.35">
      <c r="A136" s="7">
        <v>17</v>
      </c>
      <c r="B136" s="21" t="s">
        <v>24</v>
      </c>
      <c r="C136" s="49" t="s">
        <v>238</v>
      </c>
      <c r="D136" s="49" t="s">
        <v>245</v>
      </c>
      <c r="E136" s="49" t="s">
        <v>65</v>
      </c>
      <c r="F136" s="90">
        <v>88336</v>
      </c>
      <c r="G136" s="91">
        <v>88336</v>
      </c>
      <c r="H136" s="91">
        <v>88336</v>
      </c>
      <c r="I136" s="91">
        <v>88336</v>
      </c>
      <c r="J136" s="53" t="s">
        <v>250</v>
      </c>
      <c r="K136" s="339">
        <v>88336</v>
      </c>
      <c r="L136" s="311">
        <f t="shared" si="35"/>
        <v>1</v>
      </c>
      <c r="M136" s="53" t="s">
        <v>251</v>
      </c>
    </row>
    <row r="137" spans="1:13" s="6" customFormat="1" ht="39" hidden="1" outlineLevel="1" x14ac:dyDescent="0.35">
      <c r="A137" s="7">
        <v>18</v>
      </c>
      <c r="B137" s="21" t="s">
        <v>24</v>
      </c>
      <c r="C137" s="49" t="s">
        <v>238</v>
      </c>
      <c r="D137" s="49" t="s">
        <v>245</v>
      </c>
      <c r="E137" s="49" t="s">
        <v>65</v>
      </c>
      <c r="F137" s="90">
        <v>45026</v>
      </c>
      <c r="G137" s="91">
        <v>45026</v>
      </c>
      <c r="H137" s="91">
        <v>45026</v>
      </c>
      <c r="I137" s="91">
        <v>45026</v>
      </c>
      <c r="J137" s="53" t="s">
        <v>250</v>
      </c>
      <c r="K137" s="339">
        <v>45026</v>
      </c>
      <c r="L137" s="311">
        <f t="shared" si="35"/>
        <v>1</v>
      </c>
      <c r="M137" s="53" t="s">
        <v>252</v>
      </c>
    </row>
    <row r="138" spans="1:13" s="6" customFormat="1" ht="26" hidden="1" outlineLevel="1" x14ac:dyDescent="0.35">
      <c r="A138" s="7">
        <v>19</v>
      </c>
      <c r="B138" s="21" t="s">
        <v>24</v>
      </c>
      <c r="C138" s="49" t="s">
        <v>238</v>
      </c>
      <c r="D138" s="49" t="s">
        <v>245</v>
      </c>
      <c r="E138" s="49" t="s">
        <v>65</v>
      </c>
      <c r="F138" s="90">
        <v>120108</v>
      </c>
      <c r="G138" s="91">
        <v>120108</v>
      </c>
      <c r="H138" s="91">
        <v>120108</v>
      </c>
      <c r="I138" s="91">
        <v>120108</v>
      </c>
      <c r="J138" s="53" t="s">
        <v>253</v>
      </c>
      <c r="K138" s="339">
        <v>729638</v>
      </c>
      <c r="L138" s="311">
        <f t="shared" si="35"/>
        <v>0.16461313692543425</v>
      </c>
      <c r="M138" s="53" t="s">
        <v>254</v>
      </c>
    </row>
    <row r="139" spans="1:13" s="6" customFormat="1" ht="26" hidden="1" outlineLevel="1" x14ac:dyDescent="0.35">
      <c r="A139" s="7">
        <v>20</v>
      </c>
      <c r="B139" s="21" t="s">
        <v>24</v>
      </c>
      <c r="C139" s="49" t="s">
        <v>255</v>
      </c>
      <c r="D139" s="49" t="s">
        <v>245</v>
      </c>
      <c r="E139" s="49" t="s">
        <v>66</v>
      </c>
      <c r="F139" s="90">
        <v>14893</v>
      </c>
      <c r="G139" s="91">
        <v>11950</v>
      </c>
      <c r="H139" s="91">
        <v>11950</v>
      </c>
      <c r="I139" s="91">
        <v>11950</v>
      </c>
      <c r="J139" s="53" t="s">
        <v>253</v>
      </c>
      <c r="K139" s="339">
        <v>70607.640000000014</v>
      </c>
      <c r="L139" s="311">
        <f t="shared" si="35"/>
        <v>0.21092618305894373</v>
      </c>
      <c r="M139" s="53" t="s">
        <v>256</v>
      </c>
    </row>
    <row r="140" spans="1:13" s="6" customFormat="1" ht="26" hidden="1" outlineLevel="1" x14ac:dyDescent="0.35">
      <c r="A140" s="7">
        <v>21</v>
      </c>
      <c r="B140" s="21" t="s">
        <v>24</v>
      </c>
      <c r="C140" s="49" t="s">
        <v>257</v>
      </c>
      <c r="D140" s="49" t="s">
        <v>245</v>
      </c>
      <c r="E140" s="49" t="s">
        <v>66</v>
      </c>
      <c r="F140" s="90">
        <v>227661</v>
      </c>
      <c r="G140" s="91">
        <v>227661</v>
      </c>
      <c r="H140" s="91">
        <v>227661</v>
      </c>
      <c r="I140" s="91">
        <v>227661</v>
      </c>
      <c r="J140" s="53"/>
      <c r="K140" s="339">
        <v>425458</v>
      </c>
      <c r="L140" s="311">
        <f t="shared" si="35"/>
        <v>0.53509629622665456</v>
      </c>
      <c r="M140" s="53" t="s">
        <v>258</v>
      </c>
    </row>
    <row r="141" spans="1:13" s="6" customFormat="1" ht="26" hidden="1" outlineLevel="1" x14ac:dyDescent="0.35">
      <c r="A141" s="7">
        <v>22</v>
      </c>
      <c r="B141" s="21" t="s">
        <v>24</v>
      </c>
      <c r="C141" s="49" t="s">
        <v>226</v>
      </c>
      <c r="D141" s="49" t="s">
        <v>245</v>
      </c>
      <c r="E141" s="49" t="s">
        <v>66</v>
      </c>
      <c r="F141" s="90">
        <v>107000</v>
      </c>
      <c r="G141" s="91">
        <v>107000</v>
      </c>
      <c r="H141" s="91">
        <v>107000</v>
      </c>
      <c r="I141" s="91">
        <v>107000</v>
      </c>
      <c r="J141" s="53"/>
      <c r="K141" s="339">
        <v>231690</v>
      </c>
      <c r="L141" s="311">
        <f t="shared" si="35"/>
        <v>0.46182398895075316</v>
      </c>
      <c r="M141" s="53" t="s">
        <v>259</v>
      </c>
    </row>
    <row r="142" spans="1:13" s="6" customFormat="1" ht="26" hidden="1" outlineLevel="1" x14ac:dyDescent="0.35">
      <c r="A142" s="7">
        <v>23</v>
      </c>
      <c r="B142" s="21" t="s">
        <v>24</v>
      </c>
      <c r="C142" s="49" t="s">
        <v>224</v>
      </c>
      <c r="D142" s="49" t="s">
        <v>245</v>
      </c>
      <c r="E142" s="49" t="s">
        <v>66</v>
      </c>
      <c r="F142" s="90">
        <v>92125</v>
      </c>
      <c r="G142" s="91">
        <v>92125</v>
      </c>
      <c r="H142" s="91">
        <v>92125</v>
      </c>
      <c r="I142" s="91">
        <v>92125</v>
      </c>
      <c r="J142" s="53"/>
      <c r="K142" s="339">
        <v>244400</v>
      </c>
      <c r="L142" s="311">
        <f t="shared" si="35"/>
        <v>0.37694353518821605</v>
      </c>
      <c r="M142" s="53" t="s">
        <v>260</v>
      </c>
    </row>
    <row r="143" spans="1:13" s="6" customFormat="1" ht="26" hidden="1" outlineLevel="1" x14ac:dyDescent="0.35">
      <c r="A143" s="7">
        <v>24</v>
      </c>
      <c r="B143" s="21" t="s">
        <v>24</v>
      </c>
      <c r="C143" s="49" t="s">
        <v>261</v>
      </c>
      <c r="D143" s="49" t="s">
        <v>245</v>
      </c>
      <c r="E143" s="49" t="s">
        <v>66</v>
      </c>
      <c r="F143" s="90">
        <f>190000+121000+400000+237982</f>
        <v>948982</v>
      </c>
      <c r="G143" s="91">
        <f>F143</f>
        <v>948982</v>
      </c>
      <c r="H143" s="91">
        <f t="shared" ref="H143:I143" si="36">G143</f>
        <v>948982</v>
      </c>
      <c r="I143" s="91">
        <f t="shared" si="36"/>
        <v>948982</v>
      </c>
      <c r="J143" s="53"/>
      <c r="K143" s="339">
        <v>5081331.75</v>
      </c>
      <c r="L143" s="311">
        <f t="shared" si="35"/>
        <v>0.18675852053942354</v>
      </c>
      <c r="M143" s="53" t="s">
        <v>262</v>
      </c>
    </row>
    <row r="144" spans="1:13" s="6" customFormat="1" ht="26" hidden="1" outlineLevel="1" x14ac:dyDescent="0.35">
      <c r="A144" s="7">
        <v>25</v>
      </c>
      <c r="B144" s="21" t="s">
        <v>24</v>
      </c>
      <c r="C144" s="49" t="s">
        <v>263</v>
      </c>
      <c r="D144" s="49" t="s">
        <v>245</v>
      </c>
      <c r="E144" s="49" t="s">
        <v>66</v>
      </c>
      <c r="F144" s="90">
        <f>200000+233219+151200+136036</f>
        <v>720455</v>
      </c>
      <c r="G144" s="91">
        <v>743455</v>
      </c>
      <c r="H144" s="91">
        <v>569255</v>
      </c>
      <c r="I144" s="91">
        <v>569255</v>
      </c>
      <c r="J144" s="53"/>
      <c r="K144" s="339">
        <v>4573512</v>
      </c>
      <c r="L144" s="311">
        <f t="shared" si="35"/>
        <v>0.15752773798341405</v>
      </c>
      <c r="M144" s="53" t="s">
        <v>264</v>
      </c>
    </row>
    <row r="145" spans="1:13" s="6" customFormat="1" ht="26" hidden="1" outlineLevel="1" x14ac:dyDescent="0.35">
      <c r="A145" s="7">
        <v>26</v>
      </c>
      <c r="B145" s="21" t="s">
        <v>24</v>
      </c>
      <c r="C145" s="49" t="s">
        <v>265</v>
      </c>
      <c r="D145" s="49" t="s">
        <v>245</v>
      </c>
      <c r="E145" s="49" t="s">
        <v>66</v>
      </c>
      <c r="F145" s="90">
        <v>409000</v>
      </c>
      <c r="G145" s="91">
        <v>409000</v>
      </c>
      <c r="H145" s="91">
        <v>409000</v>
      </c>
      <c r="I145" s="91">
        <v>409000</v>
      </c>
      <c r="J145" s="53"/>
      <c r="K145" s="339">
        <v>2556140</v>
      </c>
      <c r="L145" s="311">
        <f t="shared" si="35"/>
        <v>0.16000688538186483</v>
      </c>
      <c r="M145" s="53" t="s">
        <v>266</v>
      </c>
    </row>
    <row r="146" spans="1:13" s="6" customFormat="1" ht="26" hidden="1" outlineLevel="1" x14ac:dyDescent="0.35">
      <c r="A146" s="7">
        <v>27</v>
      </c>
      <c r="B146" s="21" t="s">
        <v>24</v>
      </c>
      <c r="C146" s="49" t="s">
        <v>248</v>
      </c>
      <c r="D146" s="49" t="s">
        <v>245</v>
      </c>
      <c r="E146" s="49" t="s">
        <v>66</v>
      </c>
      <c r="F146" s="90">
        <v>178003</v>
      </c>
      <c r="G146" s="91">
        <v>178003</v>
      </c>
      <c r="H146" s="91">
        <v>178003</v>
      </c>
      <c r="I146" s="91">
        <v>178003</v>
      </c>
      <c r="J146" s="53"/>
      <c r="K146" s="339">
        <v>178003</v>
      </c>
      <c r="L146" s="311">
        <f t="shared" si="35"/>
        <v>1</v>
      </c>
      <c r="M146" s="53" t="s">
        <v>267</v>
      </c>
    </row>
    <row r="147" spans="1:13" s="6" customFormat="1" ht="26" hidden="1" outlineLevel="1" x14ac:dyDescent="0.35">
      <c r="A147" s="7">
        <v>28</v>
      </c>
      <c r="B147" s="21" t="s">
        <v>24</v>
      </c>
      <c r="C147" s="49" t="s">
        <v>268</v>
      </c>
      <c r="D147" s="49" t="s">
        <v>245</v>
      </c>
      <c r="E147" s="49" t="s">
        <v>68</v>
      </c>
      <c r="F147" s="91">
        <v>3600</v>
      </c>
      <c r="G147" s="91">
        <v>0</v>
      </c>
      <c r="H147" s="91">
        <v>0</v>
      </c>
      <c r="I147" s="91">
        <v>0</v>
      </c>
      <c r="J147" s="53" t="s">
        <v>253</v>
      </c>
      <c r="K147" s="339">
        <v>3600</v>
      </c>
      <c r="L147" s="311">
        <f t="shared" si="35"/>
        <v>1</v>
      </c>
      <c r="M147" s="53" t="s">
        <v>269</v>
      </c>
    </row>
    <row r="148" spans="1:13" s="6" customFormat="1" ht="26" hidden="1" outlineLevel="1" x14ac:dyDescent="0.35">
      <c r="A148" s="7">
        <v>29</v>
      </c>
      <c r="B148" s="21" t="s">
        <v>24</v>
      </c>
      <c r="C148" s="49" t="s">
        <v>270</v>
      </c>
      <c r="D148" s="49" t="s">
        <v>245</v>
      </c>
      <c r="E148" s="49" t="s">
        <v>68</v>
      </c>
      <c r="F148" s="91">
        <v>417186</v>
      </c>
      <c r="G148" s="91">
        <v>1150729</v>
      </c>
      <c r="H148" s="91">
        <v>1324929</v>
      </c>
      <c r="I148" s="91">
        <v>1324929</v>
      </c>
      <c r="J148" s="53"/>
      <c r="K148" s="339">
        <v>3091545.5</v>
      </c>
      <c r="L148" s="311">
        <f t="shared" si="35"/>
        <v>0.13494415657152709</v>
      </c>
      <c r="M148" s="53" t="s">
        <v>271</v>
      </c>
    </row>
    <row r="149" spans="1:13" s="6" customFormat="1" ht="26" hidden="1" outlineLevel="1" x14ac:dyDescent="0.35">
      <c r="A149" s="7">
        <v>30</v>
      </c>
      <c r="B149" s="21" t="s">
        <v>24</v>
      </c>
      <c r="C149" s="49" t="s">
        <v>272</v>
      </c>
      <c r="D149" s="49" t="s">
        <v>245</v>
      </c>
      <c r="E149" s="49" t="s">
        <v>68</v>
      </c>
      <c r="F149" s="91">
        <v>250000</v>
      </c>
      <c r="G149" s="91">
        <v>0</v>
      </c>
      <c r="H149" s="91">
        <v>0</v>
      </c>
      <c r="I149" s="91">
        <v>0</v>
      </c>
      <c r="J149" s="53"/>
      <c r="K149" s="339">
        <v>942084</v>
      </c>
      <c r="L149" s="311">
        <f t="shared" si="35"/>
        <v>0.26536911782813422</v>
      </c>
      <c r="M149" s="53" t="s">
        <v>273</v>
      </c>
    </row>
    <row r="150" spans="1:13" s="6" customFormat="1" ht="26" hidden="1" outlineLevel="1" x14ac:dyDescent="0.35">
      <c r="A150" s="7">
        <v>31</v>
      </c>
      <c r="B150" s="21" t="s">
        <v>24</v>
      </c>
      <c r="C150" s="49" t="s">
        <v>274</v>
      </c>
      <c r="D150" s="49" t="s">
        <v>245</v>
      </c>
      <c r="E150" s="49" t="s">
        <v>68</v>
      </c>
      <c r="F150" s="91">
        <v>500000</v>
      </c>
      <c r="G150" s="91">
        <v>0</v>
      </c>
      <c r="H150" s="91">
        <v>0</v>
      </c>
      <c r="I150" s="91">
        <v>0</v>
      </c>
      <c r="J150" s="53"/>
      <c r="K150" s="339">
        <v>4872097</v>
      </c>
      <c r="L150" s="311">
        <f t="shared" si="35"/>
        <v>0.10262521456366736</v>
      </c>
      <c r="M150" s="53" t="s">
        <v>275</v>
      </c>
    </row>
    <row r="151" spans="1:13" s="6" customFormat="1" ht="39" hidden="1" outlineLevel="1" x14ac:dyDescent="0.35">
      <c r="A151" s="7">
        <v>32</v>
      </c>
      <c r="B151" s="21" t="s">
        <v>24</v>
      </c>
      <c r="C151" s="49" t="s">
        <v>276</v>
      </c>
      <c r="D151" s="49" t="s">
        <v>245</v>
      </c>
      <c r="E151" s="49" t="s">
        <v>68</v>
      </c>
      <c r="F151" s="91">
        <v>139150</v>
      </c>
      <c r="G151" s="91">
        <v>139150</v>
      </c>
      <c r="H151" s="91">
        <v>139150</v>
      </c>
      <c r="I151" s="91">
        <v>139150</v>
      </c>
      <c r="J151" s="53"/>
      <c r="K151" s="339">
        <v>139150</v>
      </c>
      <c r="L151" s="311">
        <f t="shared" si="35"/>
        <v>1</v>
      </c>
      <c r="M151" s="53" t="s">
        <v>277</v>
      </c>
    </row>
    <row r="152" spans="1:13" s="6" customFormat="1" ht="39" hidden="1" outlineLevel="1" x14ac:dyDescent="0.35">
      <c r="A152" s="7">
        <v>33</v>
      </c>
      <c r="B152" s="21" t="s">
        <v>24</v>
      </c>
      <c r="C152" s="49" t="s">
        <v>224</v>
      </c>
      <c r="D152" s="49" t="s">
        <v>278</v>
      </c>
      <c r="E152" s="49" t="s">
        <v>66</v>
      </c>
      <c r="F152" s="92">
        <v>7000</v>
      </c>
      <c r="G152" s="92">
        <f>F152</f>
        <v>7000</v>
      </c>
      <c r="H152" s="92">
        <f t="shared" ref="H152:I155" si="37">G152</f>
        <v>7000</v>
      </c>
      <c r="I152" s="92">
        <f t="shared" si="37"/>
        <v>7000</v>
      </c>
      <c r="J152" s="53"/>
      <c r="K152" s="339">
        <v>25000</v>
      </c>
      <c r="L152" s="311">
        <f t="shared" si="35"/>
        <v>0.28000000000000003</v>
      </c>
      <c r="M152" s="53" t="s">
        <v>260</v>
      </c>
    </row>
    <row r="153" spans="1:13" s="6" customFormat="1" ht="39" hidden="1" outlineLevel="1" x14ac:dyDescent="0.35">
      <c r="A153" s="7">
        <v>34</v>
      </c>
      <c r="B153" s="21" t="s">
        <v>24</v>
      </c>
      <c r="C153" s="49" t="s">
        <v>226</v>
      </c>
      <c r="D153" s="49" t="s">
        <v>278</v>
      </c>
      <c r="E153" s="49" t="s">
        <v>66</v>
      </c>
      <c r="F153" s="92">
        <v>5000</v>
      </c>
      <c r="G153" s="92">
        <f>F153</f>
        <v>5000</v>
      </c>
      <c r="H153" s="92">
        <f t="shared" si="37"/>
        <v>5000</v>
      </c>
      <c r="I153" s="92">
        <f t="shared" si="37"/>
        <v>5000</v>
      </c>
      <c r="J153" s="53"/>
      <c r="K153" s="339">
        <v>30000</v>
      </c>
      <c r="L153" s="311">
        <f t="shared" si="35"/>
        <v>0.16666666666666666</v>
      </c>
      <c r="M153" s="53" t="s">
        <v>259</v>
      </c>
    </row>
    <row r="154" spans="1:13" s="6" customFormat="1" ht="39" hidden="1" outlineLevel="1" x14ac:dyDescent="0.35">
      <c r="A154" s="7">
        <v>35</v>
      </c>
      <c r="B154" s="21" t="s">
        <v>24</v>
      </c>
      <c r="C154" s="49" t="s">
        <v>261</v>
      </c>
      <c r="D154" s="49" t="s">
        <v>278</v>
      </c>
      <c r="E154" s="49" t="s">
        <v>66</v>
      </c>
      <c r="F154" s="92">
        <v>32000</v>
      </c>
      <c r="G154" s="92">
        <f>F154</f>
        <v>32000</v>
      </c>
      <c r="H154" s="92">
        <f t="shared" si="37"/>
        <v>32000</v>
      </c>
      <c r="I154" s="92">
        <f t="shared" si="37"/>
        <v>32000</v>
      </c>
      <c r="J154" s="53"/>
      <c r="K154" s="339">
        <v>100000</v>
      </c>
      <c r="L154" s="311">
        <f t="shared" si="35"/>
        <v>0.32</v>
      </c>
      <c r="M154" s="53" t="s">
        <v>279</v>
      </c>
    </row>
    <row r="155" spans="1:13" s="6" customFormat="1" ht="39" hidden="1" outlineLevel="1" x14ac:dyDescent="0.35">
      <c r="A155" s="7">
        <v>36</v>
      </c>
      <c r="B155" s="21" t="s">
        <v>24</v>
      </c>
      <c r="C155" s="49" t="s">
        <v>280</v>
      </c>
      <c r="D155" s="49" t="s">
        <v>278</v>
      </c>
      <c r="E155" s="49" t="s">
        <v>66</v>
      </c>
      <c r="F155" s="92">
        <v>10202</v>
      </c>
      <c r="G155" s="92">
        <f>F155</f>
        <v>10202</v>
      </c>
      <c r="H155" s="92">
        <f t="shared" si="37"/>
        <v>10202</v>
      </c>
      <c r="I155" s="92">
        <f t="shared" si="37"/>
        <v>10202</v>
      </c>
      <c r="J155" s="53"/>
      <c r="K155" s="339">
        <v>40000</v>
      </c>
      <c r="L155" s="311">
        <f t="shared" si="35"/>
        <v>0.25505</v>
      </c>
      <c r="M155" s="53"/>
    </row>
    <row r="156" spans="1:13" s="6" customFormat="1" ht="39" hidden="1" outlineLevel="1" x14ac:dyDescent="0.35">
      <c r="A156" s="7">
        <v>37</v>
      </c>
      <c r="B156" s="21" t="s">
        <v>24</v>
      </c>
      <c r="C156" s="49" t="s">
        <v>281</v>
      </c>
      <c r="D156" s="49" t="s">
        <v>278</v>
      </c>
      <c r="E156" s="49" t="s">
        <v>66</v>
      </c>
      <c r="F156" s="92">
        <v>50000</v>
      </c>
      <c r="G156" s="92">
        <v>50000</v>
      </c>
      <c r="H156" s="92">
        <v>50000</v>
      </c>
      <c r="I156" s="92">
        <v>50000</v>
      </c>
      <c r="J156" s="53"/>
      <c r="K156" s="339">
        <v>115000</v>
      </c>
      <c r="L156" s="311">
        <f t="shared" si="35"/>
        <v>0.43478260869565216</v>
      </c>
      <c r="M156" s="53" t="s">
        <v>282</v>
      </c>
    </row>
    <row r="157" spans="1:13" s="6" customFormat="1" ht="39" hidden="1" outlineLevel="1" x14ac:dyDescent="0.35">
      <c r="A157" s="7">
        <v>38</v>
      </c>
      <c r="B157" s="21" t="s">
        <v>24</v>
      </c>
      <c r="C157" s="49" t="s">
        <v>283</v>
      </c>
      <c r="D157" s="49" t="s">
        <v>278</v>
      </c>
      <c r="E157" s="49" t="s">
        <v>66</v>
      </c>
      <c r="F157" s="92">
        <v>10000</v>
      </c>
      <c r="G157" s="92">
        <v>10000</v>
      </c>
      <c r="H157" s="92">
        <v>10000</v>
      </c>
      <c r="I157" s="92">
        <v>10000</v>
      </c>
      <c r="J157" s="53"/>
      <c r="K157" s="339">
        <v>76572</v>
      </c>
      <c r="L157" s="311">
        <f t="shared" si="35"/>
        <v>0.13059604032805724</v>
      </c>
      <c r="M157" s="53" t="s">
        <v>284</v>
      </c>
    </row>
    <row r="158" spans="1:13" s="6" customFormat="1" ht="39" hidden="1" outlineLevel="1" x14ac:dyDescent="0.35">
      <c r="A158" s="7">
        <v>39</v>
      </c>
      <c r="B158" s="21" t="s">
        <v>24</v>
      </c>
      <c r="C158" s="49" t="s">
        <v>285</v>
      </c>
      <c r="D158" s="49" t="s">
        <v>278</v>
      </c>
      <c r="E158" s="49" t="s">
        <v>68</v>
      </c>
      <c r="F158" s="92">
        <v>30000</v>
      </c>
      <c r="G158" s="92">
        <f>F158</f>
        <v>30000</v>
      </c>
      <c r="H158" s="92">
        <f t="shared" ref="H158:I159" si="38">G158</f>
        <v>30000</v>
      </c>
      <c r="I158" s="92">
        <f t="shared" si="38"/>
        <v>30000</v>
      </c>
      <c r="J158" s="53"/>
      <c r="K158" s="339">
        <v>50000</v>
      </c>
      <c r="L158" s="311">
        <f t="shared" si="35"/>
        <v>0.6</v>
      </c>
      <c r="M158" s="53" t="s">
        <v>286</v>
      </c>
    </row>
    <row r="159" spans="1:13" s="6" customFormat="1" ht="26" hidden="1" outlineLevel="1" x14ac:dyDescent="0.35">
      <c r="A159" s="7">
        <v>40</v>
      </c>
      <c r="B159" s="21" t="s">
        <v>24</v>
      </c>
      <c r="C159" s="49" t="s">
        <v>238</v>
      </c>
      <c r="D159" s="49" t="s">
        <v>287</v>
      </c>
      <c r="E159" s="49" t="s">
        <v>65</v>
      </c>
      <c r="F159" s="93">
        <v>60635</v>
      </c>
      <c r="G159" s="94">
        <f>F159</f>
        <v>60635</v>
      </c>
      <c r="H159" s="94">
        <f t="shared" si="38"/>
        <v>60635</v>
      </c>
      <c r="I159" s="94">
        <f t="shared" si="38"/>
        <v>60635</v>
      </c>
      <c r="J159" s="53"/>
      <c r="K159" s="340">
        <v>831118</v>
      </c>
      <c r="L159" s="311">
        <f t="shared" si="35"/>
        <v>7.2955946087077894E-2</v>
      </c>
      <c r="M159" s="53" t="s">
        <v>288</v>
      </c>
    </row>
    <row r="160" spans="1:13" s="6" customFormat="1" ht="26" hidden="1" outlineLevel="1" x14ac:dyDescent="0.35">
      <c r="A160" s="7">
        <v>41</v>
      </c>
      <c r="B160" s="21" t="s">
        <v>24</v>
      </c>
      <c r="C160" s="49" t="s">
        <v>261</v>
      </c>
      <c r="D160" s="49" t="s">
        <v>287</v>
      </c>
      <c r="E160" s="49" t="s">
        <v>66</v>
      </c>
      <c r="F160" s="90">
        <f>2050+1350</f>
        <v>3400</v>
      </c>
      <c r="G160" s="91">
        <f t="shared" ref="G160:I160" si="39">2050+1350</f>
        <v>3400</v>
      </c>
      <c r="H160" s="91">
        <f t="shared" si="39"/>
        <v>3400</v>
      </c>
      <c r="I160" s="91">
        <f t="shared" si="39"/>
        <v>3400</v>
      </c>
      <c r="J160" s="53"/>
      <c r="K160" s="340">
        <v>12135</v>
      </c>
      <c r="L160" s="311">
        <f t="shared" si="35"/>
        <v>0.28018129377832718</v>
      </c>
      <c r="M160" s="53" t="s">
        <v>289</v>
      </c>
    </row>
    <row r="161" spans="1:13" s="6" customFormat="1" ht="26" hidden="1" outlineLevel="1" x14ac:dyDescent="0.35">
      <c r="A161" s="7">
        <v>42</v>
      </c>
      <c r="B161" s="21" t="s">
        <v>24</v>
      </c>
      <c r="C161" s="49" t="s">
        <v>290</v>
      </c>
      <c r="D161" s="49" t="s">
        <v>287</v>
      </c>
      <c r="E161" s="49" t="s">
        <v>66</v>
      </c>
      <c r="F161" s="90">
        <f>200+875+300+597</f>
        <v>1972</v>
      </c>
      <c r="G161" s="91">
        <f t="shared" ref="G161:I161" si="40">200+875+300+597</f>
        <v>1972</v>
      </c>
      <c r="H161" s="91">
        <f t="shared" si="40"/>
        <v>1972</v>
      </c>
      <c r="I161" s="91">
        <f t="shared" si="40"/>
        <v>1972</v>
      </c>
      <c r="J161" s="53"/>
      <c r="K161" s="340">
        <v>4000</v>
      </c>
      <c r="L161" s="311">
        <f t="shared" si="35"/>
        <v>0.49299999999999999</v>
      </c>
      <c r="M161" s="53" t="s">
        <v>291</v>
      </c>
    </row>
    <row r="162" spans="1:13" s="6" customFormat="1" ht="26" hidden="1" outlineLevel="1" x14ac:dyDescent="0.35">
      <c r="A162" s="7">
        <v>43</v>
      </c>
      <c r="B162" s="21" t="s">
        <v>24</v>
      </c>
      <c r="C162" s="49" t="s">
        <v>292</v>
      </c>
      <c r="D162" s="49" t="s">
        <v>287</v>
      </c>
      <c r="E162" s="49" t="s">
        <v>66</v>
      </c>
      <c r="F162" s="90">
        <f>60+165</f>
        <v>225</v>
      </c>
      <c r="G162" s="91">
        <f t="shared" ref="G162:I162" si="41">60+165</f>
        <v>225</v>
      </c>
      <c r="H162" s="91">
        <f t="shared" si="41"/>
        <v>225</v>
      </c>
      <c r="I162" s="91">
        <f t="shared" si="41"/>
        <v>225</v>
      </c>
      <c r="J162" s="53"/>
      <c r="K162" s="340">
        <v>3630</v>
      </c>
      <c r="L162" s="311">
        <f t="shared" si="35"/>
        <v>6.1983471074380167E-2</v>
      </c>
      <c r="M162" s="53" t="s">
        <v>293</v>
      </c>
    </row>
    <row r="163" spans="1:13" s="6" customFormat="1" ht="26" hidden="1" outlineLevel="1" x14ac:dyDescent="0.35">
      <c r="A163" s="7">
        <v>44</v>
      </c>
      <c r="B163" s="21" t="s">
        <v>24</v>
      </c>
      <c r="C163" s="49" t="s">
        <v>294</v>
      </c>
      <c r="D163" s="49" t="s">
        <v>287</v>
      </c>
      <c r="E163" s="49" t="s">
        <v>66</v>
      </c>
      <c r="F163" s="90">
        <f>10205+1000+10000-10871</f>
        <v>10334</v>
      </c>
      <c r="G163" s="91">
        <f t="shared" ref="G163:I163" si="42">10205+1000+10000</f>
        <v>21205</v>
      </c>
      <c r="H163" s="91">
        <f t="shared" si="42"/>
        <v>21205</v>
      </c>
      <c r="I163" s="91">
        <f t="shared" si="42"/>
        <v>21205</v>
      </c>
      <c r="J163" s="53"/>
      <c r="K163" s="340">
        <v>23857</v>
      </c>
      <c r="L163" s="311">
        <f t="shared" si="35"/>
        <v>0.43316427044473321</v>
      </c>
      <c r="M163" s="53" t="s">
        <v>295</v>
      </c>
    </row>
    <row r="164" spans="1:13" s="6" customFormat="1" ht="26" hidden="1" outlineLevel="1" x14ac:dyDescent="0.35">
      <c r="A164" s="7">
        <v>45</v>
      </c>
      <c r="B164" s="21" t="s">
        <v>24</v>
      </c>
      <c r="C164" s="49" t="s">
        <v>296</v>
      </c>
      <c r="D164" s="49" t="s">
        <v>287</v>
      </c>
      <c r="E164" s="49" t="s">
        <v>68</v>
      </c>
      <c r="F164" s="93">
        <v>10871</v>
      </c>
      <c r="G164" s="94">
        <v>0</v>
      </c>
      <c r="H164" s="94">
        <v>0</v>
      </c>
      <c r="I164" s="94">
        <v>0</v>
      </c>
      <c r="J164" s="53"/>
      <c r="K164" s="340">
        <v>10871</v>
      </c>
      <c r="L164" s="311">
        <f t="shared" si="35"/>
        <v>1</v>
      </c>
      <c r="M164" s="53" t="s">
        <v>297</v>
      </c>
    </row>
    <row r="165" spans="1:13" s="6" customFormat="1" ht="39" hidden="1" outlineLevel="1" x14ac:dyDescent="0.35">
      <c r="A165" s="7">
        <v>46</v>
      </c>
      <c r="B165" s="21" t="s">
        <v>24</v>
      </c>
      <c r="C165" s="49" t="s">
        <v>298</v>
      </c>
      <c r="D165" s="49" t="s">
        <v>299</v>
      </c>
      <c r="E165" s="49" t="s">
        <v>67</v>
      </c>
      <c r="F165" s="94">
        <v>7495</v>
      </c>
      <c r="G165" s="94">
        <f>F165</f>
        <v>7495</v>
      </c>
      <c r="H165" s="94">
        <f t="shared" ref="H165:I165" si="43">G165</f>
        <v>7495</v>
      </c>
      <c r="I165" s="94">
        <f t="shared" si="43"/>
        <v>7495</v>
      </c>
      <c r="J165" s="53"/>
      <c r="K165" s="340">
        <v>86722</v>
      </c>
      <c r="L165" s="311">
        <f t="shared" si="35"/>
        <v>8.6425589815733034E-2</v>
      </c>
      <c r="M165" s="53" t="s">
        <v>300</v>
      </c>
    </row>
    <row r="166" spans="1:13" s="6" customFormat="1" ht="26" hidden="1" outlineLevel="1" x14ac:dyDescent="0.35">
      <c r="A166" s="7">
        <v>47</v>
      </c>
      <c r="B166" s="21" t="s">
        <v>24</v>
      </c>
      <c r="C166" s="49" t="s">
        <v>238</v>
      </c>
      <c r="D166" s="49" t="s">
        <v>210</v>
      </c>
      <c r="E166" s="49" t="s">
        <v>65</v>
      </c>
      <c r="F166" s="93">
        <v>198683</v>
      </c>
      <c r="G166" s="94">
        <v>198683</v>
      </c>
      <c r="H166" s="94">
        <v>198683</v>
      </c>
      <c r="I166" s="94">
        <v>198683</v>
      </c>
      <c r="J166" s="53"/>
      <c r="K166" s="340">
        <v>15360804</v>
      </c>
      <c r="L166" s="311">
        <f t="shared" si="35"/>
        <v>1.2934414110094758E-2</v>
      </c>
      <c r="M166" s="53" t="s">
        <v>301</v>
      </c>
    </row>
    <row r="167" spans="1:13" s="6" customFormat="1" ht="26" hidden="1" outlineLevel="1" x14ac:dyDescent="0.35">
      <c r="A167" s="7">
        <v>48</v>
      </c>
      <c r="B167" s="21" t="s">
        <v>24</v>
      </c>
      <c r="C167" s="49" t="s">
        <v>224</v>
      </c>
      <c r="D167" s="49" t="s">
        <v>210</v>
      </c>
      <c r="E167" s="49" t="s">
        <v>66</v>
      </c>
      <c r="F167" s="93">
        <v>160940</v>
      </c>
      <c r="G167" s="94">
        <v>160940</v>
      </c>
      <c r="H167" s="94">
        <v>160940</v>
      </c>
      <c r="I167" s="94">
        <v>160940</v>
      </c>
      <c r="J167" s="53"/>
      <c r="K167" s="340">
        <v>533800</v>
      </c>
      <c r="L167" s="311">
        <f t="shared" si="35"/>
        <v>0.30149868864743351</v>
      </c>
      <c r="M167" s="53" t="s">
        <v>260</v>
      </c>
    </row>
    <row r="168" spans="1:13" s="6" customFormat="1" ht="26" hidden="1" outlineLevel="1" x14ac:dyDescent="0.35">
      <c r="A168" s="7">
        <v>49</v>
      </c>
      <c r="B168" s="21" t="s">
        <v>24</v>
      </c>
      <c r="C168" s="49" t="s">
        <v>302</v>
      </c>
      <c r="D168" s="49" t="s">
        <v>210</v>
      </c>
      <c r="E168" s="49" t="s">
        <v>66</v>
      </c>
      <c r="F168" s="93">
        <v>195361</v>
      </c>
      <c r="G168" s="94">
        <v>347973</v>
      </c>
      <c r="H168" s="94">
        <f>G168</f>
        <v>347973</v>
      </c>
      <c r="I168" s="94">
        <f>H168</f>
        <v>347973</v>
      </c>
      <c r="J168" s="53"/>
      <c r="K168" s="340">
        <v>497829</v>
      </c>
      <c r="L168" s="311">
        <f t="shared" si="35"/>
        <v>0.39242591331561638</v>
      </c>
      <c r="M168" s="53" t="s">
        <v>303</v>
      </c>
    </row>
    <row r="169" spans="1:13" s="6" customFormat="1" ht="26" hidden="1" outlineLevel="1" x14ac:dyDescent="0.35">
      <c r="A169" s="7">
        <v>50</v>
      </c>
      <c r="B169" s="21" t="s">
        <v>24</v>
      </c>
      <c r="C169" s="49" t="s">
        <v>261</v>
      </c>
      <c r="D169" s="49" t="s">
        <v>210</v>
      </c>
      <c r="E169" s="49" t="s">
        <v>66</v>
      </c>
      <c r="F169" s="93">
        <f>107800+40467</f>
        <v>148267</v>
      </c>
      <c r="G169" s="94">
        <f>F169</f>
        <v>148267</v>
      </c>
      <c r="H169" s="94">
        <f t="shared" ref="H169:I170" si="44">G169</f>
        <v>148267</v>
      </c>
      <c r="I169" s="94">
        <f t="shared" si="44"/>
        <v>148267</v>
      </c>
      <c r="J169" s="53"/>
      <c r="K169" s="340">
        <v>1113660</v>
      </c>
      <c r="L169" s="311">
        <f t="shared" si="35"/>
        <v>0.13313488856563044</v>
      </c>
      <c r="M169" s="53" t="s">
        <v>304</v>
      </c>
    </row>
    <row r="170" spans="1:13" s="6" customFormat="1" ht="26" hidden="1" outlineLevel="1" x14ac:dyDescent="0.35">
      <c r="A170" s="7">
        <v>51</v>
      </c>
      <c r="B170" s="21" t="s">
        <v>24</v>
      </c>
      <c r="C170" s="49" t="s">
        <v>280</v>
      </c>
      <c r="D170" s="49" t="s">
        <v>210</v>
      </c>
      <c r="E170" s="49" t="s">
        <v>66</v>
      </c>
      <c r="F170" s="93">
        <f>243211+32512</f>
        <v>275723</v>
      </c>
      <c r="G170" s="94">
        <v>285300</v>
      </c>
      <c r="H170" s="94">
        <f t="shared" si="44"/>
        <v>285300</v>
      </c>
      <c r="I170" s="94">
        <f t="shared" si="44"/>
        <v>285300</v>
      </c>
      <c r="J170" s="53"/>
      <c r="K170" s="340">
        <v>614680</v>
      </c>
      <c r="L170" s="311">
        <f t="shared" si="35"/>
        <v>0.44856348018481162</v>
      </c>
      <c r="M170" s="53" t="s">
        <v>305</v>
      </c>
    </row>
    <row r="171" spans="1:13" s="6" customFormat="1" ht="26" hidden="1" outlineLevel="1" x14ac:dyDescent="0.35">
      <c r="A171" s="7">
        <v>52</v>
      </c>
      <c r="B171" s="21" t="s">
        <v>24</v>
      </c>
      <c r="C171" s="49" t="s">
        <v>226</v>
      </c>
      <c r="D171" s="49" t="s">
        <v>210</v>
      </c>
      <c r="E171" s="49" t="s">
        <v>66</v>
      </c>
      <c r="F171" s="93">
        <v>50000</v>
      </c>
      <c r="G171" s="94">
        <v>50000</v>
      </c>
      <c r="H171" s="94">
        <v>50000</v>
      </c>
      <c r="I171" s="94">
        <v>50000</v>
      </c>
      <c r="J171" s="53"/>
      <c r="K171" s="340">
        <v>70000</v>
      </c>
      <c r="L171" s="311">
        <f t="shared" si="35"/>
        <v>0.7142857142857143</v>
      </c>
      <c r="M171" s="53" t="s">
        <v>259</v>
      </c>
    </row>
    <row r="172" spans="1:13" s="6" customFormat="1" ht="26" hidden="1" outlineLevel="1" x14ac:dyDescent="0.35">
      <c r="A172" s="7">
        <v>53</v>
      </c>
      <c r="B172" s="21" t="s">
        <v>24</v>
      </c>
      <c r="C172" s="49" t="s">
        <v>306</v>
      </c>
      <c r="D172" s="49" t="s">
        <v>210</v>
      </c>
      <c r="E172" s="49" t="s">
        <v>66</v>
      </c>
      <c r="F172" s="93">
        <f>22130+7826</f>
        <v>29956</v>
      </c>
      <c r="G172" s="94">
        <v>32500</v>
      </c>
      <c r="H172" s="94">
        <v>32500</v>
      </c>
      <c r="I172" s="94">
        <v>32500</v>
      </c>
      <c r="J172" s="53"/>
      <c r="K172" s="340">
        <v>133764</v>
      </c>
      <c r="L172" s="311">
        <f t="shared" si="35"/>
        <v>0.2239466523130289</v>
      </c>
      <c r="M172" s="53" t="s">
        <v>307</v>
      </c>
    </row>
    <row r="173" spans="1:13" s="6" customFormat="1" ht="26" hidden="1" outlineLevel="1" x14ac:dyDescent="0.35">
      <c r="A173" s="7">
        <v>54</v>
      </c>
      <c r="B173" s="21" t="s">
        <v>24</v>
      </c>
      <c r="C173" s="49" t="s">
        <v>308</v>
      </c>
      <c r="D173" s="49" t="s">
        <v>210</v>
      </c>
      <c r="E173" s="49" t="s">
        <v>68</v>
      </c>
      <c r="F173" s="94">
        <v>28000</v>
      </c>
      <c r="G173" s="94">
        <f>F173</f>
        <v>28000</v>
      </c>
      <c r="H173" s="94">
        <f t="shared" ref="H173:I173" si="45">G173</f>
        <v>28000</v>
      </c>
      <c r="I173" s="94">
        <f t="shared" si="45"/>
        <v>28000</v>
      </c>
      <c r="J173" s="53"/>
      <c r="K173" s="340">
        <v>35000</v>
      </c>
      <c r="L173" s="311">
        <f t="shared" si="35"/>
        <v>0.8</v>
      </c>
      <c r="M173" s="53" t="s">
        <v>309</v>
      </c>
    </row>
    <row r="174" spans="1:13" s="6" customFormat="1" ht="26" hidden="1" outlineLevel="1" x14ac:dyDescent="0.35">
      <c r="A174" s="7">
        <v>55</v>
      </c>
      <c r="B174" s="21" t="s">
        <v>24</v>
      </c>
      <c r="C174" s="49" t="s">
        <v>310</v>
      </c>
      <c r="D174" s="49" t="s">
        <v>210</v>
      </c>
      <c r="E174" s="49" t="s">
        <v>68</v>
      </c>
      <c r="F174" s="94">
        <v>590417</v>
      </c>
      <c r="G174" s="94">
        <f>439684-14000</f>
        <v>425684</v>
      </c>
      <c r="H174" s="94">
        <f>G174</f>
        <v>425684</v>
      </c>
      <c r="I174" s="94">
        <f>H174</f>
        <v>425684</v>
      </c>
      <c r="J174" s="53"/>
      <c r="K174" s="340">
        <v>703410</v>
      </c>
      <c r="L174" s="311">
        <f t="shared" si="35"/>
        <v>0.83936395558777954</v>
      </c>
      <c r="M174" s="53" t="s">
        <v>311</v>
      </c>
    </row>
    <row r="175" spans="1:13" collapsed="1" x14ac:dyDescent="0.3">
      <c r="A175" s="457" t="s">
        <v>312</v>
      </c>
      <c r="B175" s="458"/>
      <c r="C175" s="458"/>
      <c r="D175" s="458"/>
      <c r="E175" s="459"/>
      <c r="F175" s="39">
        <f>SUM(F181:F190)</f>
        <v>521275</v>
      </c>
      <c r="G175" s="39">
        <f t="shared" ref="G175:I175" si="46">SUM(G181:G190)</f>
        <v>521275</v>
      </c>
      <c r="H175" s="39">
        <f t="shared" si="46"/>
        <v>521275</v>
      </c>
      <c r="I175" s="39">
        <f t="shared" si="46"/>
        <v>521275</v>
      </c>
      <c r="J175" s="141"/>
      <c r="K175" s="341"/>
      <c r="L175" s="342"/>
      <c r="M175" s="142"/>
    </row>
    <row r="176" spans="1:13" x14ac:dyDescent="0.3">
      <c r="A176" s="460" t="s">
        <v>313</v>
      </c>
      <c r="B176" s="461"/>
      <c r="C176" s="461"/>
      <c r="D176" s="461"/>
      <c r="E176" s="462"/>
      <c r="F176" s="40">
        <v>521275</v>
      </c>
      <c r="G176" s="86"/>
      <c r="H176" s="86"/>
      <c r="I176" s="86"/>
      <c r="J176" s="143"/>
      <c r="K176" s="343"/>
      <c r="L176" s="344"/>
      <c r="M176" s="144"/>
    </row>
    <row r="177" spans="1:13" x14ac:dyDescent="0.3">
      <c r="A177" s="463" t="s">
        <v>314</v>
      </c>
      <c r="B177" s="464"/>
      <c r="C177" s="464"/>
      <c r="D177" s="464"/>
      <c r="E177" s="465"/>
      <c r="F177" s="42">
        <f>F176-F175</f>
        <v>0</v>
      </c>
      <c r="G177" s="87"/>
      <c r="H177" s="87"/>
      <c r="I177" s="87"/>
      <c r="J177" s="143"/>
      <c r="K177" s="343"/>
      <c r="L177" s="344"/>
      <c r="M177" s="144"/>
    </row>
    <row r="178" spans="1:13" x14ac:dyDescent="0.3">
      <c r="A178" s="475" t="s">
        <v>65</v>
      </c>
      <c r="B178" s="476"/>
      <c r="C178" s="476"/>
      <c r="D178" s="476"/>
      <c r="E178" s="477"/>
      <c r="F178" s="363">
        <f>F182+F183+F184+F186+F189+F190</f>
        <v>408416</v>
      </c>
      <c r="G178" s="363">
        <f t="shared" ref="G178:I178" si="47">G182+G183+G184+G186+G189+G190</f>
        <v>408416</v>
      </c>
      <c r="H178" s="363">
        <f t="shared" si="47"/>
        <v>408416</v>
      </c>
      <c r="I178" s="363">
        <f t="shared" si="47"/>
        <v>408416</v>
      </c>
      <c r="J178" s="327"/>
      <c r="K178" s="372"/>
      <c r="L178" s="373"/>
      <c r="M178" s="366"/>
    </row>
    <row r="179" spans="1:13" x14ac:dyDescent="0.3">
      <c r="A179" s="475" t="s">
        <v>66</v>
      </c>
      <c r="B179" s="476"/>
      <c r="C179" s="476"/>
      <c r="D179" s="476"/>
      <c r="E179" s="477"/>
      <c r="F179" s="363">
        <f>F181+F188</f>
        <v>5643</v>
      </c>
      <c r="G179" s="363">
        <f t="shared" ref="G179:I179" si="48">G181+G188</f>
        <v>5643</v>
      </c>
      <c r="H179" s="363">
        <f t="shared" si="48"/>
        <v>5643</v>
      </c>
      <c r="I179" s="363">
        <f t="shared" si="48"/>
        <v>5643</v>
      </c>
      <c r="J179" s="327"/>
      <c r="K179" s="372"/>
      <c r="L179" s="373"/>
      <c r="M179" s="366"/>
    </row>
    <row r="180" spans="1:13" x14ac:dyDescent="0.3">
      <c r="A180" s="475" t="s">
        <v>68</v>
      </c>
      <c r="B180" s="476"/>
      <c r="C180" s="476"/>
      <c r="D180" s="476"/>
      <c r="E180" s="477"/>
      <c r="F180" s="363">
        <f>F185+F187</f>
        <v>107216</v>
      </c>
      <c r="G180" s="363">
        <f t="shared" ref="G180:I180" si="49">G185+G187</f>
        <v>107216</v>
      </c>
      <c r="H180" s="363">
        <f t="shared" si="49"/>
        <v>107216</v>
      </c>
      <c r="I180" s="363">
        <f t="shared" si="49"/>
        <v>107216</v>
      </c>
      <c r="J180" s="327"/>
      <c r="K180" s="372"/>
      <c r="L180" s="373"/>
      <c r="M180" s="366"/>
    </row>
    <row r="181" spans="1:13" s="6" customFormat="1" ht="39" hidden="1" outlineLevel="1" x14ac:dyDescent="0.35">
      <c r="A181" s="7">
        <v>1</v>
      </c>
      <c r="B181" s="7" t="s">
        <v>25</v>
      </c>
      <c r="C181" s="314" t="s">
        <v>1004</v>
      </c>
      <c r="D181" s="8" t="s">
        <v>315</v>
      </c>
      <c r="E181" s="8" t="s">
        <v>66</v>
      </c>
      <c r="F181" s="84">
        <v>3800</v>
      </c>
      <c r="G181" s="20">
        <v>3800</v>
      </c>
      <c r="H181" s="20">
        <v>3800</v>
      </c>
      <c r="I181" s="20">
        <v>3800</v>
      </c>
      <c r="J181" s="10"/>
      <c r="K181" s="308">
        <v>385642</v>
      </c>
      <c r="L181" s="309">
        <f t="shared" ref="L181:L205" si="50">F181/K181</f>
        <v>9.8536985079426005E-3</v>
      </c>
      <c r="M181" s="130" t="s">
        <v>316</v>
      </c>
    </row>
    <row r="182" spans="1:13" s="6" customFormat="1" hidden="1" outlineLevel="1" x14ac:dyDescent="0.35">
      <c r="A182" s="7">
        <v>2</v>
      </c>
      <c r="B182" s="7" t="s">
        <v>25</v>
      </c>
      <c r="C182" s="314" t="s">
        <v>317</v>
      </c>
      <c r="D182" s="8" t="s">
        <v>318</v>
      </c>
      <c r="E182" s="8" t="s">
        <v>319</v>
      </c>
      <c r="F182" s="84">
        <v>85674</v>
      </c>
      <c r="G182" s="20">
        <v>85674</v>
      </c>
      <c r="H182" s="20">
        <v>85674</v>
      </c>
      <c r="I182" s="20">
        <v>85674</v>
      </c>
      <c r="J182" s="10"/>
      <c r="K182" s="308">
        <v>3582071</v>
      </c>
      <c r="L182" s="309">
        <f t="shared" si="50"/>
        <v>2.391744887245395E-2</v>
      </c>
      <c r="M182" s="130" t="s">
        <v>320</v>
      </c>
    </row>
    <row r="183" spans="1:13" s="6" customFormat="1" ht="26" hidden="1" outlineLevel="1" x14ac:dyDescent="0.35">
      <c r="A183" s="7">
        <v>3</v>
      </c>
      <c r="B183" s="7" t="s">
        <v>25</v>
      </c>
      <c r="C183" s="314" t="s">
        <v>317</v>
      </c>
      <c r="D183" s="8" t="s">
        <v>321</v>
      </c>
      <c r="E183" s="8" t="s">
        <v>319</v>
      </c>
      <c r="F183" s="84">
        <v>38074</v>
      </c>
      <c r="G183" s="20">
        <v>38074</v>
      </c>
      <c r="H183" s="20">
        <v>38074</v>
      </c>
      <c r="I183" s="20">
        <v>38074</v>
      </c>
      <c r="J183" s="10"/>
      <c r="K183" s="308">
        <v>1371972</v>
      </c>
      <c r="L183" s="309">
        <f t="shared" si="50"/>
        <v>2.775129521593735E-2</v>
      </c>
      <c r="M183" s="130" t="s">
        <v>320</v>
      </c>
    </row>
    <row r="184" spans="1:13" s="6" customFormat="1" hidden="1" outlineLevel="1" x14ac:dyDescent="0.35">
      <c r="A184" s="7">
        <v>4</v>
      </c>
      <c r="B184" s="7" t="s">
        <v>25</v>
      </c>
      <c r="C184" s="314" t="s">
        <v>317</v>
      </c>
      <c r="D184" s="8" t="s">
        <v>322</v>
      </c>
      <c r="E184" s="8" t="s">
        <v>319</v>
      </c>
      <c r="F184" s="84">
        <v>32750</v>
      </c>
      <c r="G184" s="20">
        <v>32750</v>
      </c>
      <c r="H184" s="20">
        <v>32750</v>
      </c>
      <c r="I184" s="20">
        <v>32750</v>
      </c>
      <c r="J184" s="10"/>
      <c r="K184" s="308">
        <v>952252</v>
      </c>
      <c r="L184" s="309">
        <f t="shared" si="50"/>
        <v>3.4392156698016908E-2</v>
      </c>
      <c r="M184" s="130" t="s">
        <v>320</v>
      </c>
    </row>
    <row r="185" spans="1:13" ht="26" hidden="1" outlineLevel="1" x14ac:dyDescent="0.3">
      <c r="A185" s="7">
        <v>5</v>
      </c>
      <c r="B185" s="7" t="s">
        <v>25</v>
      </c>
      <c r="C185" s="314" t="s">
        <v>1005</v>
      </c>
      <c r="D185" s="8" t="s">
        <v>323</v>
      </c>
      <c r="E185" s="8" t="s">
        <v>68</v>
      </c>
      <c r="F185" s="20">
        <v>7216</v>
      </c>
      <c r="G185" s="20">
        <v>7216</v>
      </c>
      <c r="H185" s="20">
        <v>7216</v>
      </c>
      <c r="I185" s="20">
        <v>7216</v>
      </c>
      <c r="J185" s="10"/>
      <c r="K185" s="308">
        <v>433054</v>
      </c>
      <c r="L185" s="309">
        <f t="shared" si="50"/>
        <v>1.6663048950015472E-2</v>
      </c>
      <c r="M185" s="130" t="s">
        <v>324</v>
      </c>
    </row>
    <row r="186" spans="1:13" ht="91" hidden="1" outlineLevel="1" x14ac:dyDescent="0.3">
      <c r="A186" s="7">
        <v>6</v>
      </c>
      <c r="B186" s="7" t="s">
        <v>25</v>
      </c>
      <c r="C186" s="314" t="s">
        <v>325</v>
      </c>
      <c r="D186" s="8" t="s">
        <v>326</v>
      </c>
      <c r="E186" s="8" t="s">
        <v>319</v>
      </c>
      <c r="F186" s="85">
        <v>230000</v>
      </c>
      <c r="G186" s="19">
        <v>230000</v>
      </c>
      <c r="H186" s="19">
        <v>230000</v>
      </c>
      <c r="I186" s="19">
        <v>230000</v>
      </c>
      <c r="J186" s="130" t="s">
        <v>327</v>
      </c>
      <c r="K186" s="310">
        <v>2580156</v>
      </c>
      <c r="L186" s="311">
        <f t="shared" si="50"/>
        <v>8.9141896846547261E-2</v>
      </c>
      <c r="M186" s="130" t="s">
        <v>328</v>
      </c>
    </row>
    <row r="187" spans="1:13" ht="26" hidden="1" outlineLevel="1" x14ac:dyDescent="0.3">
      <c r="A187" s="7">
        <v>7</v>
      </c>
      <c r="B187" s="7" t="s">
        <v>25</v>
      </c>
      <c r="C187" s="314" t="s">
        <v>329</v>
      </c>
      <c r="D187" s="8" t="s">
        <v>330</v>
      </c>
      <c r="E187" s="8" t="s">
        <v>68</v>
      </c>
      <c r="F187" s="19">
        <v>100000</v>
      </c>
      <c r="G187" s="19">
        <v>100000</v>
      </c>
      <c r="H187" s="19">
        <v>100000</v>
      </c>
      <c r="I187" s="19">
        <v>100000</v>
      </c>
      <c r="J187" s="145"/>
      <c r="K187" s="308">
        <v>1000000</v>
      </c>
      <c r="L187" s="309">
        <f t="shared" si="50"/>
        <v>0.1</v>
      </c>
      <c r="M187" s="130" t="s">
        <v>331</v>
      </c>
    </row>
    <row r="188" spans="1:13" ht="26" hidden="1" outlineLevel="1" x14ac:dyDescent="0.3">
      <c r="A188" s="7">
        <v>8</v>
      </c>
      <c r="B188" s="7" t="s">
        <v>25</v>
      </c>
      <c r="C188" s="314" t="s">
        <v>1004</v>
      </c>
      <c r="D188" s="8" t="s">
        <v>332</v>
      </c>
      <c r="E188" s="8" t="s">
        <v>66</v>
      </c>
      <c r="F188" s="84">
        <v>1843</v>
      </c>
      <c r="G188" s="20">
        <v>1843</v>
      </c>
      <c r="H188" s="20">
        <v>1843</v>
      </c>
      <c r="I188" s="20">
        <v>1843</v>
      </c>
      <c r="J188" s="10"/>
      <c r="K188" s="308">
        <v>30000</v>
      </c>
      <c r="L188" s="309">
        <f t="shared" si="50"/>
        <v>6.1433333333333333E-2</v>
      </c>
      <c r="M188" s="130" t="s">
        <v>333</v>
      </c>
    </row>
    <row r="189" spans="1:13" ht="26" hidden="1" outlineLevel="1" x14ac:dyDescent="0.3">
      <c r="A189" s="7">
        <v>9</v>
      </c>
      <c r="B189" s="7" t="s">
        <v>25</v>
      </c>
      <c r="C189" s="8" t="s">
        <v>317</v>
      </c>
      <c r="D189" s="8" t="s">
        <v>334</v>
      </c>
      <c r="E189" s="8" t="s">
        <v>319</v>
      </c>
      <c r="F189" s="84">
        <v>1918</v>
      </c>
      <c r="G189" s="20">
        <v>1918</v>
      </c>
      <c r="H189" s="20">
        <v>1918</v>
      </c>
      <c r="I189" s="20">
        <v>1918</v>
      </c>
      <c r="J189" s="10"/>
      <c r="K189" s="308">
        <v>390918</v>
      </c>
      <c r="L189" s="309">
        <f t="shared" si="50"/>
        <v>4.9063998076322914E-3</v>
      </c>
      <c r="M189" s="130" t="s">
        <v>320</v>
      </c>
    </row>
    <row r="190" spans="1:13" ht="26" hidden="1" outlineLevel="1" x14ac:dyDescent="0.3">
      <c r="A190" s="7">
        <v>10</v>
      </c>
      <c r="B190" s="7" t="s">
        <v>25</v>
      </c>
      <c r="C190" s="8" t="s">
        <v>317</v>
      </c>
      <c r="D190" s="8" t="s">
        <v>210</v>
      </c>
      <c r="E190" s="8" t="s">
        <v>319</v>
      </c>
      <c r="F190" s="85">
        <v>20000</v>
      </c>
      <c r="G190" s="19">
        <v>20000</v>
      </c>
      <c r="H190" s="19">
        <v>20000</v>
      </c>
      <c r="I190" s="19">
        <v>20000</v>
      </c>
      <c r="J190" s="145"/>
      <c r="K190" s="308">
        <v>488338</v>
      </c>
      <c r="L190" s="309">
        <f t="shared" si="50"/>
        <v>4.0955240018184125E-2</v>
      </c>
      <c r="M190" s="130" t="s">
        <v>320</v>
      </c>
    </row>
    <row r="191" spans="1:13" collapsed="1" x14ac:dyDescent="0.3">
      <c r="A191" s="457" t="s">
        <v>335</v>
      </c>
      <c r="B191" s="458"/>
      <c r="C191" s="458"/>
      <c r="D191" s="458"/>
      <c r="E191" s="459"/>
      <c r="F191" s="43">
        <f>SUM(F198:F212)</f>
        <v>8081047</v>
      </c>
      <c r="G191" s="43">
        <f t="shared" ref="G191:I191" si="51">SUM(G198:G212)</f>
        <v>7918851</v>
      </c>
      <c r="H191" s="43">
        <f t="shared" si="51"/>
        <v>7918851</v>
      </c>
      <c r="I191" s="43">
        <f t="shared" si="51"/>
        <v>7918851</v>
      </c>
      <c r="J191" s="141"/>
      <c r="K191" s="341"/>
      <c r="L191" s="342"/>
      <c r="M191" s="142"/>
    </row>
    <row r="192" spans="1:13" x14ac:dyDescent="0.3">
      <c r="A192" s="460" t="s">
        <v>336</v>
      </c>
      <c r="B192" s="461"/>
      <c r="C192" s="461"/>
      <c r="D192" s="461"/>
      <c r="E192" s="462"/>
      <c r="F192" s="40">
        <v>22389504.795674726</v>
      </c>
      <c r="G192" s="86"/>
      <c r="H192" s="86"/>
      <c r="I192" s="86"/>
      <c r="J192" s="143"/>
      <c r="K192" s="343"/>
      <c r="L192" s="344"/>
      <c r="M192" s="144"/>
    </row>
    <row r="193" spans="1:13" x14ac:dyDescent="0.3">
      <c r="A193" s="463" t="s">
        <v>337</v>
      </c>
      <c r="B193" s="464"/>
      <c r="C193" s="464"/>
      <c r="D193" s="464"/>
      <c r="E193" s="465"/>
      <c r="F193" s="42">
        <f>F192-F191</f>
        <v>14308457.795674726</v>
      </c>
      <c r="G193" s="87"/>
      <c r="H193" s="87"/>
      <c r="I193" s="87"/>
      <c r="J193" s="143"/>
      <c r="K193" s="343"/>
      <c r="L193" s="344"/>
      <c r="M193" s="144"/>
    </row>
    <row r="194" spans="1:13" x14ac:dyDescent="0.3">
      <c r="A194" s="475" t="s">
        <v>65</v>
      </c>
      <c r="B194" s="476"/>
      <c r="C194" s="476"/>
      <c r="D194" s="476"/>
      <c r="E194" s="477"/>
      <c r="F194" s="363">
        <f>F206+F208+F210+F212</f>
        <v>704756</v>
      </c>
      <c r="G194" s="363">
        <f t="shared" ref="G194:I194" si="52">G206+G208+G210+G212</f>
        <v>704756</v>
      </c>
      <c r="H194" s="363">
        <f t="shared" si="52"/>
        <v>704756</v>
      </c>
      <c r="I194" s="363">
        <f t="shared" si="52"/>
        <v>704756</v>
      </c>
      <c r="J194" s="327"/>
      <c r="K194" s="372"/>
      <c r="L194" s="373"/>
      <c r="M194" s="374"/>
    </row>
    <row r="195" spans="1:13" x14ac:dyDescent="0.3">
      <c r="A195" s="475" t="s">
        <v>66</v>
      </c>
      <c r="B195" s="476"/>
      <c r="C195" s="476"/>
      <c r="D195" s="476"/>
      <c r="E195" s="477"/>
      <c r="F195" s="363">
        <f>F198+F204+F207+F209+F211</f>
        <v>931106</v>
      </c>
      <c r="G195" s="363">
        <f t="shared" ref="G195:I195" si="53">G198+G204+G207+G209+G211</f>
        <v>931106</v>
      </c>
      <c r="H195" s="363">
        <f t="shared" si="53"/>
        <v>931106</v>
      </c>
      <c r="I195" s="363">
        <f t="shared" si="53"/>
        <v>931106</v>
      </c>
      <c r="J195" s="327"/>
      <c r="K195" s="372"/>
      <c r="L195" s="373"/>
      <c r="M195" s="374"/>
    </row>
    <row r="196" spans="1:13" x14ac:dyDescent="0.3">
      <c r="A196" s="475" t="s">
        <v>67</v>
      </c>
      <c r="B196" s="476"/>
      <c r="C196" s="476"/>
      <c r="D196" s="476"/>
      <c r="E196" s="477"/>
      <c r="F196" s="363">
        <f>F205</f>
        <v>1706283</v>
      </c>
      <c r="G196" s="363">
        <f t="shared" ref="G196:I196" si="54">G205</f>
        <v>1706283</v>
      </c>
      <c r="H196" s="363">
        <f t="shared" si="54"/>
        <v>1706283</v>
      </c>
      <c r="I196" s="363">
        <f t="shared" si="54"/>
        <v>1706283</v>
      </c>
      <c r="J196" s="327"/>
      <c r="K196" s="372"/>
      <c r="L196" s="373"/>
      <c r="M196" s="374"/>
    </row>
    <row r="197" spans="1:13" x14ac:dyDescent="0.3">
      <c r="A197" s="475" t="s">
        <v>70</v>
      </c>
      <c r="B197" s="476"/>
      <c r="C197" s="476"/>
      <c r="D197" s="476"/>
      <c r="E197" s="477"/>
      <c r="F197" s="363">
        <f>F199+F200+F201+F202+F203</f>
        <v>4738902</v>
      </c>
      <c r="G197" s="363">
        <f t="shared" ref="G197:I197" si="55">G199+G200+G201+G202+G203</f>
        <v>4576706</v>
      </c>
      <c r="H197" s="363">
        <f t="shared" si="55"/>
        <v>4576706</v>
      </c>
      <c r="I197" s="363">
        <f t="shared" si="55"/>
        <v>4576706</v>
      </c>
      <c r="J197" s="327"/>
      <c r="K197" s="372"/>
      <c r="L197" s="373"/>
      <c r="M197" s="374"/>
    </row>
    <row r="198" spans="1:13" ht="39" hidden="1" outlineLevel="1" x14ac:dyDescent="0.3">
      <c r="A198" s="21">
        <v>1</v>
      </c>
      <c r="B198" s="21" t="s">
        <v>26</v>
      </c>
      <c r="C198" s="8" t="s">
        <v>338</v>
      </c>
      <c r="D198" s="8" t="s">
        <v>339</v>
      </c>
      <c r="E198" s="8" t="s">
        <v>66</v>
      </c>
      <c r="F198" s="139">
        <v>40000</v>
      </c>
      <c r="G198" s="140">
        <v>40000</v>
      </c>
      <c r="H198" s="140">
        <v>40000</v>
      </c>
      <c r="I198" s="140">
        <v>40000</v>
      </c>
      <c r="J198" s="130"/>
      <c r="K198" s="310">
        <v>962703</v>
      </c>
      <c r="L198" s="311">
        <f>F198/K198</f>
        <v>4.1549678353552444E-2</v>
      </c>
      <c r="M198" s="272"/>
    </row>
    <row r="199" spans="1:13" ht="104" hidden="1" outlineLevel="1" x14ac:dyDescent="0.3">
      <c r="A199" s="21">
        <v>2</v>
      </c>
      <c r="B199" s="21" t="s">
        <v>26</v>
      </c>
      <c r="C199" s="8" t="s">
        <v>340</v>
      </c>
      <c r="D199" s="8" t="s">
        <v>341</v>
      </c>
      <c r="E199" s="8" t="s">
        <v>170</v>
      </c>
      <c r="F199" s="139">
        <v>2000000</v>
      </c>
      <c r="G199" s="140">
        <v>2000000</v>
      </c>
      <c r="H199" s="140">
        <v>2000000</v>
      </c>
      <c r="I199" s="140">
        <v>2000000</v>
      </c>
      <c r="J199" s="130"/>
      <c r="K199" s="310">
        <v>10000000</v>
      </c>
      <c r="L199" s="345">
        <f t="shared" si="50"/>
        <v>0.2</v>
      </c>
      <c r="M199" s="346" t="s">
        <v>342</v>
      </c>
    </row>
    <row r="200" spans="1:13" ht="104" hidden="1" outlineLevel="1" x14ac:dyDescent="0.3">
      <c r="A200" s="21">
        <v>3</v>
      </c>
      <c r="B200" s="21" t="s">
        <v>26</v>
      </c>
      <c r="C200" s="8" t="s">
        <v>343</v>
      </c>
      <c r="D200" s="8" t="s">
        <v>341</v>
      </c>
      <c r="E200" s="8" t="s">
        <v>170</v>
      </c>
      <c r="F200" s="139">
        <v>250000</v>
      </c>
      <c r="G200" s="140"/>
      <c r="H200" s="140"/>
      <c r="I200" s="140"/>
      <c r="J200" s="130" t="s">
        <v>344</v>
      </c>
      <c r="K200" s="310">
        <v>310000</v>
      </c>
      <c r="L200" s="347">
        <f t="shared" si="50"/>
        <v>0.80645161290322576</v>
      </c>
      <c r="M200" s="273"/>
    </row>
    <row r="201" spans="1:13" ht="104" hidden="1" outlineLevel="1" x14ac:dyDescent="0.35">
      <c r="A201" s="21">
        <v>4</v>
      </c>
      <c r="B201" s="21" t="s">
        <v>26</v>
      </c>
      <c r="C201" s="8" t="s">
        <v>345</v>
      </c>
      <c r="D201" s="8" t="s">
        <v>341</v>
      </c>
      <c r="E201" s="8" t="s">
        <v>170</v>
      </c>
      <c r="F201" s="139">
        <v>570000</v>
      </c>
      <c r="G201" s="140">
        <v>570000</v>
      </c>
      <c r="H201" s="140">
        <v>570000</v>
      </c>
      <c r="I201" s="140">
        <v>570000</v>
      </c>
      <c r="J201" s="130" t="s">
        <v>345</v>
      </c>
      <c r="K201" s="310">
        <v>996892</v>
      </c>
      <c r="L201" s="347">
        <f t="shared" si="50"/>
        <v>0.57177708317450637</v>
      </c>
      <c r="M201" s="274"/>
    </row>
    <row r="202" spans="1:13" ht="104" hidden="1" outlineLevel="1" x14ac:dyDescent="0.3">
      <c r="A202" s="21">
        <v>5</v>
      </c>
      <c r="B202" s="21" t="s">
        <v>26</v>
      </c>
      <c r="C202" s="8" t="s">
        <v>346</v>
      </c>
      <c r="D202" s="8" t="s">
        <v>347</v>
      </c>
      <c r="E202" s="8" t="s">
        <v>170</v>
      </c>
      <c r="F202" s="139">
        <v>43902</v>
      </c>
      <c r="G202" s="140">
        <v>131706</v>
      </c>
      <c r="H202" s="140">
        <v>131706</v>
      </c>
      <c r="I202" s="140">
        <v>131706</v>
      </c>
      <c r="J202" s="130"/>
      <c r="K202" s="310">
        <v>131706</v>
      </c>
      <c r="L202" s="347">
        <f t="shared" si="50"/>
        <v>0.33333333333333331</v>
      </c>
      <c r="M202" s="275"/>
    </row>
    <row r="203" spans="1:13" ht="104" hidden="1" outlineLevel="1" x14ac:dyDescent="0.3">
      <c r="A203" s="21">
        <v>6</v>
      </c>
      <c r="B203" s="21" t="s">
        <v>26</v>
      </c>
      <c r="C203" s="8" t="s">
        <v>348</v>
      </c>
      <c r="D203" s="8" t="s">
        <v>349</v>
      </c>
      <c r="E203" s="8" t="s">
        <v>170</v>
      </c>
      <c r="F203" s="139">
        <v>1875000</v>
      </c>
      <c r="G203" s="140">
        <v>1875000</v>
      </c>
      <c r="H203" s="140">
        <v>1875000</v>
      </c>
      <c r="I203" s="140">
        <v>1875000</v>
      </c>
      <c r="J203" s="130"/>
      <c r="K203" s="310">
        <v>39443712</v>
      </c>
      <c r="L203" s="345">
        <f t="shared" si="50"/>
        <v>4.7536093966004014E-2</v>
      </c>
      <c r="M203" s="348" t="s">
        <v>350</v>
      </c>
    </row>
    <row r="204" spans="1:13" ht="26" hidden="1" outlineLevel="1" x14ac:dyDescent="0.3">
      <c r="A204" s="21">
        <v>7</v>
      </c>
      <c r="B204" s="21" t="s">
        <v>26</v>
      </c>
      <c r="C204" s="8" t="s">
        <v>351</v>
      </c>
      <c r="D204" s="8" t="s">
        <v>352</v>
      </c>
      <c r="E204" s="8" t="s">
        <v>66</v>
      </c>
      <c r="F204" s="139">
        <v>862380</v>
      </c>
      <c r="G204" s="140">
        <v>862380</v>
      </c>
      <c r="H204" s="140">
        <v>862380</v>
      </c>
      <c r="I204" s="140">
        <v>862380</v>
      </c>
      <c r="J204" s="130"/>
      <c r="K204" s="310">
        <v>5300000</v>
      </c>
      <c r="L204" s="347">
        <f t="shared" si="50"/>
        <v>0.16271320754716981</v>
      </c>
      <c r="M204" s="348"/>
    </row>
    <row r="205" spans="1:13" ht="52" hidden="1" outlineLevel="1" x14ac:dyDescent="0.3">
      <c r="A205" s="21">
        <v>8</v>
      </c>
      <c r="B205" s="21" t="s">
        <v>26</v>
      </c>
      <c r="C205" s="8" t="s">
        <v>353</v>
      </c>
      <c r="D205" s="8" t="s">
        <v>354</v>
      </c>
      <c r="E205" s="8" t="s">
        <v>67</v>
      </c>
      <c r="F205" s="139">
        <v>1706283</v>
      </c>
      <c r="G205" s="140">
        <v>1706283</v>
      </c>
      <c r="H205" s="140">
        <v>1706283</v>
      </c>
      <c r="I205" s="140">
        <v>1706283</v>
      </c>
      <c r="J205" s="130"/>
      <c r="K205" s="310">
        <v>17803453</v>
      </c>
      <c r="L205" s="347">
        <f t="shared" si="50"/>
        <v>9.5840003621769324E-2</v>
      </c>
      <c r="M205" s="348" t="s">
        <v>355</v>
      </c>
    </row>
    <row r="206" spans="1:13" ht="26.15" hidden="1" customHeight="1" outlineLevel="1" x14ac:dyDescent="0.3">
      <c r="A206" s="514">
        <v>9</v>
      </c>
      <c r="B206" s="514" t="s">
        <v>26</v>
      </c>
      <c r="C206" s="515" t="s">
        <v>356</v>
      </c>
      <c r="D206" s="516" t="s">
        <v>357</v>
      </c>
      <c r="E206" s="8" t="s">
        <v>65</v>
      </c>
      <c r="F206" s="139">
        <v>54182</v>
      </c>
      <c r="G206" s="140">
        <v>54182</v>
      </c>
      <c r="H206" s="140">
        <v>54182</v>
      </c>
      <c r="I206" s="140">
        <v>54182</v>
      </c>
      <c r="J206" s="130"/>
      <c r="K206" s="517">
        <v>2020468</v>
      </c>
      <c r="L206" s="518">
        <f>(F206+F207)/K206</f>
        <v>3.0647354969244749E-2</v>
      </c>
      <c r="M206" s="348"/>
    </row>
    <row r="207" spans="1:13" ht="26" hidden="1" outlineLevel="1" x14ac:dyDescent="0.3">
      <c r="A207" s="514"/>
      <c r="B207" s="514"/>
      <c r="C207" s="515"/>
      <c r="D207" s="516"/>
      <c r="E207" s="8" t="s">
        <v>66</v>
      </c>
      <c r="F207" s="139">
        <v>7740</v>
      </c>
      <c r="G207" s="140">
        <v>7740</v>
      </c>
      <c r="H207" s="140">
        <v>7740</v>
      </c>
      <c r="I207" s="140">
        <v>7740</v>
      </c>
      <c r="J207" s="130"/>
      <c r="K207" s="517"/>
      <c r="L207" s="518"/>
      <c r="M207" s="348"/>
    </row>
    <row r="208" spans="1:13" ht="26.15" hidden="1" customHeight="1" outlineLevel="1" x14ac:dyDescent="0.3">
      <c r="A208" s="514"/>
      <c r="B208" s="514"/>
      <c r="C208" s="515"/>
      <c r="D208" s="516" t="s">
        <v>358</v>
      </c>
      <c r="E208" s="8" t="s">
        <v>65</v>
      </c>
      <c r="F208" s="139">
        <v>70598</v>
      </c>
      <c r="G208" s="140">
        <v>70598</v>
      </c>
      <c r="H208" s="140">
        <v>70598</v>
      </c>
      <c r="I208" s="140">
        <v>70598</v>
      </c>
      <c r="J208" s="130"/>
      <c r="K208" s="517">
        <v>974835</v>
      </c>
      <c r="L208" s="518">
        <f>(F208+F209)/K208</f>
        <v>8.3146378617919958E-2</v>
      </c>
      <c r="M208" s="348"/>
    </row>
    <row r="209" spans="1:13" ht="26" hidden="1" outlineLevel="1" x14ac:dyDescent="0.3">
      <c r="A209" s="514"/>
      <c r="B209" s="514"/>
      <c r="C209" s="515"/>
      <c r="D209" s="516"/>
      <c r="E209" s="8" t="s">
        <v>66</v>
      </c>
      <c r="F209" s="139">
        <v>10456</v>
      </c>
      <c r="G209" s="140">
        <v>10456</v>
      </c>
      <c r="H209" s="140">
        <v>10456</v>
      </c>
      <c r="I209" s="140">
        <v>10456</v>
      </c>
      <c r="J209" s="130"/>
      <c r="K209" s="517"/>
      <c r="L209" s="518"/>
      <c r="M209" s="348"/>
    </row>
    <row r="210" spans="1:13" hidden="1" outlineLevel="1" x14ac:dyDescent="0.3">
      <c r="A210" s="514"/>
      <c r="B210" s="514"/>
      <c r="C210" s="515"/>
      <c r="D210" s="516" t="s">
        <v>359</v>
      </c>
      <c r="E210" s="8" t="s">
        <v>65</v>
      </c>
      <c r="F210" s="139">
        <v>38551</v>
      </c>
      <c r="G210" s="140">
        <v>38551</v>
      </c>
      <c r="H210" s="140">
        <v>38551</v>
      </c>
      <c r="I210" s="140">
        <v>38551</v>
      </c>
      <c r="J210" s="130"/>
      <c r="K210" s="517">
        <v>576799</v>
      </c>
      <c r="L210" s="519">
        <f>(F210+F211)/K210</f>
        <v>8.5092033793401162E-2</v>
      </c>
      <c r="M210" s="349"/>
    </row>
    <row r="211" spans="1:13" ht="26" hidden="1" outlineLevel="1" x14ac:dyDescent="0.3">
      <c r="A211" s="514"/>
      <c r="B211" s="514"/>
      <c r="C211" s="515"/>
      <c r="D211" s="516"/>
      <c r="E211" s="8" t="s">
        <v>66</v>
      </c>
      <c r="F211" s="139">
        <v>10530</v>
      </c>
      <c r="G211" s="140">
        <v>10530</v>
      </c>
      <c r="H211" s="140">
        <v>10530</v>
      </c>
      <c r="I211" s="140">
        <v>10530</v>
      </c>
      <c r="J211" s="130"/>
      <c r="K211" s="517"/>
      <c r="L211" s="519"/>
      <c r="M211" s="350"/>
    </row>
    <row r="212" spans="1:13" ht="26" hidden="1" outlineLevel="1" x14ac:dyDescent="0.3">
      <c r="A212" s="21">
        <v>15</v>
      </c>
      <c r="B212" s="21" t="s">
        <v>26</v>
      </c>
      <c r="C212" s="8" t="s">
        <v>360</v>
      </c>
      <c r="D212" s="8" t="s">
        <v>361</v>
      </c>
      <c r="E212" s="8" t="s">
        <v>65</v>
      </c>
      <c r="F212" s="139">
        <v>541425</v>
      </c>
      <c r="G212" s="140">
        <v>541425</v>
      </c>
      <c r="H212" s="140">
        <v>541425</v>
      </c>
      <c r="I212" s="140">
        <v>541425</v>
      </c>
      <c r="J212" s="130"/>
      <c r="K212" s="310">
        <v>7405427</v>
      </c>
      <c r="L212" s="311">
        <f t="shared" ref="L212:L275" si="56">F212/K212</f>
        <v>7.3111921837862956E-2</v>
      </c>
      <c r="M212" s="350"/>
    </row>
    <row r="213" spans="1:13" collapsed="1" x14ac:dyDescent="0.3">
      <c r="A213" s="457" t="s">
        <v>362</v>
      </c>
      <c r="B213" s="458"/>
      <c r="C213" s="458"/>
      <c r="D213" s="458"/>
      <c r="E213" s="459"/>
      <c r="F213" s="43">
        <f>SUM(F221:F259)</f>
        <v>7480372.5379999997</v>
      </c>
      <c r="G213" s="43">
        <f t="shared" ref="G213:I213" si="57">SUM(G221:G259)</f>
        <v>7480372.5379999997</v>
      </c>
      <c r="H213" s="43">
        <f t="shared" si="57"/>
        <v>7480372.5379999997</v>
      </c>
      <c r="I213" s="43">
        <f t="shared" si="57"/>
        <v>7480372.5379999997</v>
      </c>
      <c r="J213" s="141"/>
      <c r="K213" s="226"/>
      <c r="L213" s="220"/>
      <c r="M213" s="142"/>
    </row>
    <row r="214" spans="1:13" x14ac:dyDescent="0.3">
      <c r="A214" s="460" t="s">
        <v>363</v>
      </c>
      <c r="B214" s="461"/>
      <c r="C214" s="461"/>
      <c r="D214" s="461"/>
      <c r="E214" s="462"/>
      <c r="F214" s="40">
        <v>7480373</v>
      </c>
      <c r="G214" s="86"/>
      <c r="H214" s="86"/>
      <c r="I214" s="86"/>
      <c r="J214" s="143"/>
      <c r="K214" s="227"/>
      <c r="L214" s="221"/>
      <c r="M214" s="144"/>
    </row>
    <row r="215" spans="1:13" x14ac:dyDescent="0.3">
      <c r="A215" s="463" t="s">
        <v>364</v>
      </c>
      <c r="B215" s="464"/>
      <c r="C215" s="464"/>
      <c r="D215" s="464"/>
      <c r="E215" s="465"/>
      <c r="F215" s="42">
        <f>F214-F213</f>
        <v>0.46200000029057264</v>
      </c>
      <c r="G215" s="87"/>
      <c r="H215" s="87"/>
      <c r="I215" s="87"/>
      <c r="J215" s="143"/>
      <c r="K215" s="227"/>
      <c r="L215" s="221"/>
      <c r="M215" s="144"/>
    </row>
    <row r="216" spans="1:13" x14ac:dyDescent="0.3">
      <c r="A216" s="475" t="s">
        <v>65</v>
      </c>
      <c r="B216" s="476"/>
      <c r="C216" s="476"/>
      <c r="D216" s="476"/>
      <c r="E216" s="477"/>
      <c r="F216" s="363">
        <f>F221+F228+F236+F247+F257</f>
        <v>2741023</v>
      </c>
      <c r="G216" s="363">
        <f t="shared" ref="G216:I216" si="58">G221+G228+G236+G247+G257</f>
        <v>2745030</v>
      </c>
      <c r="H216" s="363">
        <f t="shared" si="58"/>
        <v>2741023</v>
      </c>
      <c r="I216" s="363">
        <f t="shared" si="58"/>
        <v>2745030</v>
      </c>
      <c r="J216" s="327"/>
      <c r="K216" s="368"/>
      <c r="L216" s="369"/>
      <c r="M216" s="366"/>
    </row>
    <row r="217" spans="1:13" x14ac:dyDescent="0.3">
      <c r="A217" s="475" t="s">
        <v>66</v>
      </c>
      <c r="B217" s="476"/>
      <c r="C217" s="476"/>
      <c r="D217" s="476"/>
      <c r="E217" s="477"/>
      <c r="F217" s="363">
        <f>F222+F229+F231+F237+F248+F249+F250+F251+F252+F253+F254+F255+F258</f>
        <v>1647346</v>
      </c>
      <c r="G217" s="363">
        <f>G222+G229+G231+G237+G248+G249+G250+G251+G252+G253+G254+G255+G258</f>
        <v>1647346</v>
      </c>
      <c r="H217" s="363">
        <f>H222+H229+H231+H237+H248+H249+H250+H251+H252+H253+H254+H255+H258</f>
        <v>1647346</v>
      </c>
      <c r="I217" s="363">
        <f>I222+I229+I231+I237+I248+I249+I250+I251+I252+I253+I254+I255+I258</f>
        <v>1647346</v>
      </c>
      <c r="J217" s="327"/>
      <c r="K217" s="368"/>
      <c r="L217" s="369"/>
      <c r="M217" s="366"/>
    </row>
    <row r="218" spans="1:13" x14ac:dyDescent="0.3">
      <c r="A218" s="475" t="s">
        <v>67</v>
      </c>
      <c r="B218" s="476"/>
      <c r="C218" s="476"/>
      <c r="D218" s="476"/>
      <c r="E218" s="477"/>
      <c r="F218" s="363">
        <f>F227+F234+F235+F239+F240+F244+F245+F246</f>
        <v>1992453</v>
      </c>
      <c r="G218" s="363">
        <f t="shared" ref="G218:I218" si="59">G227+G234+G235+G239+G240+G244+G245+G246</f>
        <v>1992453</v>
      </c>
      <c r="H218" s="363">
        <f t="shared" si="59"/>
        <v>1992453</v>
      </c>
      <c r="I218" s="363">
        <f t="shared" si="59"/>
        <v>1992453</v>
      </c>
      <c r="J218" s="327"/>
      <c r="K218" s="368"/>
      <c r="L218" s="369"/>
      <c r="M218" s="366"/>
    </row>
    <row r="219" spans="1:13" x14ac:dyDescent="0.3">
      <c r="A219" s="475" t="s">
        <v>68</v>
      </c>
      <c r="B219" s="476"/>
      <c r="C219" s="476"/>
      <c r="D219" s="476"/>
      <c r="E219" s="477"/>
      <c r="F219" s="363">
        <f>F223+F230+F232+F238+F256</f>
        <v>564113</v>
      </c>
      <c r="G219" s="363">
        <f t="shared" ref="G219:I219" si="60">G223+G230+G232+G238+G256</f>
        <v>564113</v>
      </c>
      <c r="H219" s="363">
        <f t="shared" si="60"/>
        <v>564113</v>
      </c>
      <c r="I219" s="363">
        <f t="shared" si="60"/>
        <v>564113</v>
      </c>
      <c r="J219" s="327"/>
      <c r="K219" s="368"/>
      <c r="L219" s="369"/>
      <c r="M219" s="366"/>
    </row>
    <row r="220" spans="1:13" x14ac:dyDescent="0.3">
      <c r="A220" s="475" t="s">
        <v>70</v>
      </c>
      <c r="B220" s="476"/>
      <c r="C220" s="476"/>
      <c r="D220" s="476"/>
      <c r="E220" s="477"/>
      <c r="F220" s="363">
        <f>F224+F225+F226+F233+F241+F242+F243+F259</f>
        <v>535437.53799999994</v>
      </c>
      <c r="G220" s="363">
        <f t="shared" ref="G220:I220" si="61">G224+G225+G226+G233+G241+G242+G243+G259</f>
        <v>531430.53799999994</v>
      </c>
      <c r="H220" s="363">
        <f t="shared" si="61"/>
        <v>535437.53799999994</v>
      </c>
      <c r="I220" s="363">
        <f t="shared" si="61"/>
        <v>531430.53799999994</v>
      </c>
      <c r="J220" s="327"/>
      <c r="K220" s="368"/>
      <c r="L220" s="369"/>
      <c r="M220" s="366"/>
    </row>
    <row r="221" spans="1:13" ht="93.75" hidden="1" customHeight="1" outlineLevel="1" x14ac:dyDescent="0.3">
      <c r="A221" s="493">
        <v>1</v>
      </c>
      <c r="B221" s="497" t="s">
        <v>27</v>
      </c>
      <c r="C221" s="49" t="s">
        <v>1006</v>
      </c>
      <c r="D221" s="521" t="s">
        <v>365</v>
      </c>
      <c r="E221" s="2" t="s">
        <v>65</v>
      </c>
      <c r="F221" s="20">
        <v>718269</v>
      </c>
      <c r="G221" s="20">
        <v>718269</v>
      </c>
      <c r="H221" s="20">
        <v>718269</v>
      </c>
      <c r="I221" s="20">
        <v>718269</v>
      </c>
      <c r="J221" s="10"/>
      <c r="K221" s="308">
        <v>9265714</v>
      </c>
      <c r="L221" s="309">
        <f t="shared" si="56"/>
        <v>7.7519012566112017E-2</v>
      </c>
      <c r="M221" s="211"/>
    </row>
    <row r="222" spans="1:13" ht="27.75" hidden="1" customHeight="1" outlineLevel="1" x14ac:dyDescent="0.3">
      <c r="A222" s="508"/>
      <c r="B222" s="520"/>
      <c r="C222" s="2" t="s">
        <v>366</v>
      </c>
      <c r="D222" s="522"/>
      <c r="E222" s="2" t="s">
        <v>66</v>
      </c>
      <c r="F222" s="20">
        <v>104416</v>
      </c>
      <c r="G222" s="20">
        <v>104416</v>
      </c>
      <c r="H222" s="20">
        <v>104416</v>
      </c>
      <c r="I222" s="20">
        <v>104416</v>
      </c>
      <c r="J222" s="10"/>
      <c r="K222" s="308">
        <v>1369278</v>
      </c>
      <c r="L222" s="309">
        <f t="shared" si="56"/>
        <v>7.6256245992413527E-2</v>
      </c>
      <c r="M222" s="211"/>
    </row>
    <row r="223" spans="1:13" ht="26" hidden="1" outlineLevel="1" x14ac:dyDescent="0.3">
      <c r="A223" s="494"/>
      <c r="B223" s="498"/>
      <c r="C223" s="2" t="s">
        <v>367</v>
      </c>
      <c r="D223" s="523"/>
      <c r="E223" s="2" t="s">
        <v>68</v>
      </c>
      <c r="F223" s="20">
        <v>100000</v>
      </c>
      <c r="G223" s="20">
        <v>100000</v>
      </c>
      <c r="H223" s="20">
        <v>100000</v>
      </c>
      <c r="I223" s="20">
        <v>100000</v>
      </c>
      <c r="J223" s="10"/>
      <c r="K223" s="308">
        <v>185951</v>
      </c>
      <c r="L223" s="309">
        <f t="shared" si="56"/>
        <v>0.53777608079547834</v>
      </c>
      <c r="M223" s="211"/>
    </row>
    <row r="224" spans="1:13" ht="65" hidden="1" outlineLevel="1" x14ac:dyDescent="0.3">
      <c r="A224" s="493">
        <v>2</v>
      </c>
      <c r="B224" s="497" t="s">
        <v>27</v>
      </c>
      <c r="C224" s="52" t="s">
        <v>368</v>
      </c>
      <c r="D224" s="521" t="s">
        <v>369</v>
      </c>
      <c r="E224" s="2" t="s">
        <v>370</v>
      </c>
      <c r="F224" s="20">
        <v>44487.627999999997</v>
      </c>
      <c r="G224" s="20">
        <v>44487.627999999997</v>
      </c>
      <c r="H224" s="20">
        <v>44487.627999999997</v>
      </c>
      <c r="I224" s="20">
        <v>44487.627999999997</v>
      </c>
      <c r="J224" s="10"/>
      <c r="K224" s="308">
        <v>517298</v>
      </c>
      <c r="L224" s="309">
        <f t="shared" si="56"/>
        <v>8.5999999999999993E-2</v>
      </c>
      <c r="M224" s="211"/>
    </row>
    <row r="225" spans="1:13" ht="63.75" hidden="1" customHeight="1" outlineLevel="1" x14ac:dyDescent="0.3">
      <c r="A225" s="508"/>
      <c r="B225" s="520"/>
      <c r="C225" s="52" t="s">
        <v>371</v>
      </c>
      <c r="D225" s="522"/>
      <c r="E225" s="2" t="s">
        <v>372</v>
      </c>
      <c r="F225" s="20">
        <v>24632.808000000001</v>
      </c>
      <c r="G225" s="20">
        <v>24632.808000000001</v>
      </c>
      <c r="H225" s="20">
        <v>24632.808000000001</v>
      </c>
      <c r="I225" s="20">
        <v>24632.808000000001</v>
      </c>
      <c r="J225" s="10"/>
      <c r="K225" s="308">
        <v>286428</v>
      </c>
      <c r="L225" s="309">
        <f t="shared" si="56"/>
        <v>8.6000000000000007E-2</v>
      </c>
      <c r="M225" s="211"/>
    </row>
    <row r="226" spans="1:13" ht="104" hidden="1" outlineLevel="1" x14ac:dyDescent="0.3">
      <c r="A226" s="494"/>
      <c r="B226" s="498"/>
      <c r="C226" s="52" t="s">
        <v>373</v>
      </c>
      <c r="D226" s="523"/>
      <c r="E226" s="2" t="s">
        <v>372</v>
      </c>
      <c r="F226" s="20">
        <v>65769.101999999999</v>
      </c>
      <c r="G226" s="20">
        <v>65769.101999999999</v>
      </c>
      <c r="H226" s="20">
        <v>65769.101999999999</v>
      </c>
      <c r="I226" s="20">
        <v>65769.101999999999</v>
      </c>
      <c r="J226" s="10"/>
      <c r="K226" s="308">
        <v>764757</v>
      </c>
      <c r="L226" s="309">
        <f t="shared" si="56"/>
        <v>8.5999999999999993E-2</v>
      </c>
      <c r="M226" s="211"/>
    </row>
    <row r="227" spans="1:13" ht="63.75" hidden="1" customHeight="1" outlineLevel="1" x14ac:dyDescent="0.3">
      <c r="A227" s="7">
        <v>3</v>
      </c>
      <c r="B227" s="21" t="s">
        <v>27</v>
      </c>
      <c r="C227" s="52" t="s">
        <v>374</v>
      </c>
      <c r="D227" s="51" t="s">
        <v>375</v>
      </c>
      <c r="E227" s="2" t="s">
        <v>67</v>
      </c>
      <c r="F227" s="20">
        <v>1154774</v>
      </c>
      <c r="G227" s="20">
        <v>1154774</v>
      </c>
      <c r="H227" s="20">
        <v>1154774</v>
      </c>
      <c r="I227" s="20">
        <v>1154774</v>
      </c>
      <c r="J227" s="10"/>
      <c r="K227" s="308">
        <v>7717986</v>
      </c>
      <c r="L227" s="309">
        <f t="shared" si="56"/>
        <v>0.14962115764397604</v>
      </c>
      <c r="M227" s="211" t="s">
        <v>376</v>
      </c>
    </row>
    <row r="228" spans="1:13" ht="39" hidden="1" customHeight="1" outlineLevel="1" x14ac:dyDescent="0.3">
      <c r="A228" s="493">
        <v>4</v>
      </c>
      <c r="B228" s="497" t="s">
        <v>27</v>
      </c>
      <c r="C228" s="52" t="s">
        <v>377</v>
      </c>
      <c r="D228" s="521" t="s">
        <v>378</v>
      </c>
      <c r="E228" s="4" t="s">
        <v>65</v>
      </c>
      <c r="F228" s="84">
        <v>500174</v>
      </c>
      <c r="G228" s="20">
        <v>500174</v>
      </c>
      <c r="H228" s="20">
        <v>500174</v>
      </c>
      <c r="I228" s="20">
        <v>500174</v>
      </c>
      <c r="J228" s="10"/>
      <c r="K228" s="308">
        <v>13583151</v>
      </c>
      <c r="L228" s="309">
        <f t="shared" si="56"/>
        <v>3.682312005513301E-2</v>
      </c>
      <c r="M228" s="5"/>
    </row>
    <row r="229" spans="1:13" ht="50.25" hidden="1" customHeight="1" outlineLevel="1" x14ac:dyDescent="0.3">
      <c r="A229" s="508"/>
      <c r="B229" s="520"/>
      <c r="C229" s="52" t="s">
        <v>379</v>
      </c>
      <c r="D229" s="522"/>
      <c r="E229" s="2" t="s">
        <v>66</v>
      </c>
      <c r="F229" s="20">
        <v>810000</v>
      </c>
      <c r="G229" s="20">
        <v>810000</v>
      </c>
      <c r="H229" s="20">
        <v>810000</v>
      </c>
      <c r="I229" s="20">
        <v>810000</v>
      </c>
      <c r="J229" s="10"/>
      <c r="K229" s="308">
        <v>993426</v>
      </c>
      <c r="L229" s="309">
        <f t="shared" si="56"/>
        <v>0.81536017780891579</v>
      </c>
      <c r="M229" s="5"/>
    </row>
    <row r="230" spans="1:13" ht="26" hidden="1" outlineLevel="1" x14ac:dyDescent="0.3">
      <c r="A230" s="508"/>
      <c r="B230" s="520"/>
      <c r="C230" s="52"/>
      <c r="D230" s="522"/>
      <c r="E230" s="2" t="s">
        <v>68</v>
      </c>
      <c r="F230" s="20">
        <v>14113</v>
      </c>
      <c r="G230" s="20">
        <v>14113</v>
      </c>
      <c r="H230" s="20">
        <v>14113</v>
      </c>
      <c r="I230" s="20">
        <v>14113</v>
      </c>
      <c r="J230" s="10"/>
      <c r="K230" s="308">
        <v>14113</v>
      </c>
      <c r="L230" s="309">
        <f t="shared" si="56"/>
        <v>1</v>
      </c>
      <c r="M230" s="5"/>
    </row>
    <row r="231" spans="1:13" ht="52" hidden="1" outlineLevel="1" x14ac:dyDescent="0.3">
      <c r="A231" s="508"/>
      <c r="B231" s="520"/>
      <c r="C231" s="52" t="s">
        <v>380</v>
      </c>
      <c r="D231" s="522"/>
      <c r="E231" s="2" t="s">
        <v>66</v>
      </c>
      <c r="F231" s="20">
        <v>24289</v>
      </c>
      <c r="G231" s="20">
        <v>24289</v>
      </c>
      <c r="H231" s="20">
        <v>24289</v>
      </c>
      <c r="I231" s="20">
        <v>24289</v>
      </c>
      <c r="J231" s="10"/>
      <c r="K231" s="308">
        <v>1204116</v>
      </c>
      <c r="L231" s="309">
        <f t="shared" si="56"/>
        <v>2.0171644592381466E-2</v>
      </c>
      <c r="M231" s="5"/>
    </row>
    <row r="232" spans="1:13" ht="39" hidden="1" outlineLevel="1" x14ac:dyDescent="0.3">
      <c r="A232" s="508"/>
      <c r="B232" s="520"/>
      <c r="C232" s="52" t="s">
        <v>381</v>
      </c>
      <c r="D232" s="522"/>
      <c r="E232" s="2" t="s">
        <v>68</v>
      </c>
      <c r="F232" s="20">
        <v>150000</v>
      </c>
      <c r="G232" s="20">
        <v>150000</v>
      </c>
      <c r="H232" s="20">
        <v>150000</v>
      </c>
      <c r="I232" s="20">
        <v>150000</v>
      </c>
      <c r="J232" s="10"/>
      <c r="K232" s="308">
        <v>250000</v>
      </c>
      <c r="L232" s="309">
        <f t="shared" si="56"/>
        <v>0.6</v>
      </c>
      <c r="M232" s="5"/>
    </row>
    <row r="233" spans="1:13" ht="52" hidden="1" outlineLevel="1" x14ac:dyDescent="0.3">
      <c r="A233" s="494"/>
      <c r="B233" s="498"/>
      <c r="C233" s="52"/>
      <c r="D233" s="523"/>
      <c r="E233" s="2" t="s">
        <v>372</v>
      </c>
      <c r="F233" s="20">
        <v>13299</v>
      </c>
      <c r="G233" s="20">
        <v>13299</v>
      </c>
      <c r="H233" s="20">
        <v>13299</v>
      </c>
      <c r="I233" s="20">
        <v>13299</v>
      </c>
      <c r="J233" s="10"/>
      <c r="K233" s="308">
        <v>154638</v>
      </c>
      <c r="L233" s="309">
        <f t="shared" si="56"/>
        <v>8.6000853606487404E-2</v>
      </c>
      <c r="M233" s="5"/>
    </row>
    <row r="234" spans="1:13" ht="26" hidden="1" outlineLevel="1" x14ac:dyDescent="0.3">
      <c r="A234" s="7">
        <v>5</v>
      </c>
      <c r="B234" s="21" t="s">
        <v>27</v>
      </c>
      <c r="C234" s="52"/>
      <c r="D234" s="51" t="s">
        <v>382</v>
      </c>
      <c r="E234" s="2" t="s">
        <v>67</v>
      </c>
      <c r="F234" s="20">
        <v>12806</v>
      </c>
      <c r="G234" s="20">
        <v>12806</v>
      </c>
      <c r="H234" s="20">
        <v>12806</v>
      </c>
      <c r="I234" s="20">
        <v>12806</v>
      </c>
      <c r="J234" s="10"/>
      <c r="K234" s="308">
        <v>148911</v>
      </c>
      <c r="L234" s="309">
        <f t="shared" si="56"/>
        <v>8.599767646446535E-2</v>
      </c>
      <c r="M234" s="5"/>
    </row>
    <row r="235" spans="1:13" ht="52" hidden="1" outlineLevel="1" x14ac:dyDescent="0.3">
      <c r="A235" s="7">
        <v>6</v>
      </c>
      <c r="B235" s="21" t="s">
        <v>27</v>
      </c>
      <c r="C235" s="52"/>
      <c r="D235" s="51" t="s">
        <v>383</v>
      </c>
      <c r="E235" s="2" t="s">
        <v>67</v>
      </c>
      <c r="F235" s="20">
        <v>12799</v>
      </c>
      <c r="G235" s="20">
        <v>12799</v>
      </c>
      <c r="H235" s="20">
        <v>12799</v>
      </c>
      <c r="I235" s="20">
        <v>12799</v>
      </c>
      <c r="J235" s="10"/>
      <c r="K235" s="308">
        <v>148824</v>
      </c>
      <c r="L235" s="309">
        <f t="shared" si="56"/>
        <v>8.6000913831102505E-2</v>
      </c>
      <c r="M235" s="5"/>
    </row>
    <row r="236" spans="1:13" ht="70.5" hidden="1" customHeight="1" outlineLevel="1" x14ac:dyDescent="0.3">
      <c r="A236" s="493">
        <v>7</v>
      </c>
      <c r="B236" s="497" t="s">
        <v>27</v>
      </c>
      <c r="C236" s="52" t="s">
        <v>384</v>
      </c>
      <c r="D236" s="521" t="s">
        <v>385</v>
      </c>
      <c r="E236" s="4" t="s">
        <v>65</v>
      </c>
      <c r="F236" s="20">
        <v>1157016</v>
      </c>
      <c r="G236" s="20">
        <v>1157016</v>
      </c>
      <c r="H236" s="20">
        <v>1157016</v>
      </c>
      <c r="I236" s="20">
        <v>1157016</v>
      </c>
      <c r="J236" s="10"/>
      <c r="K236" s="308">
        <v>1238694</v>
      </c>
      <c r="L236" s="309">
        <f t="shared" si="56"/>
        <v>0.93406119671202092</v>
      </c>
      <c r="M236" s="5" t="s">
        <v>386</v>
      </c>
    </row>
    <row r="237" spans="1:13" ht="78" hidden="1" outlineLevel="1" x14ac:dyDescent="0.3">
      <c r="A237" s="508"/>
      <c r="B237" s="520"/>
      <c r="C237" s="52" t="s">
        <v>1007</v>
      </c>
      <c r="D237" s="522"/>
      <c r="E237" s="2" t="s">
        <v>66</v>
      </c>
      <c r="F237" s="20">
        <v>434442</v>
      </c>
      <c r="G237" s="20">
        <v>434442</v>
      </c>
      <c r="H237" s="20">
        <v>434442</v>
      </c>
      <c r="I237" s="20">
        <v>434442</v>
      </c>
      <c r="J237" s="10"/>
      <c r="K237" s="308">
        <v>1682658</v>
      </c>
      <c r="L237" s="309">
        <f t="shared" si="56"/>
        <v>0.25818793836893772</v>
      </c>
      <c r="M237" s="5"/>
    </row>
    <row r="238" spans="1:13" ht="45" hidden="1" customHeight="1" outlineLevel="1" x14ac:dyDescent="0.3">
      <c r="A238" s="494"/>
      <c r="B238" s="498"/>
      <c r="C238" s="52" t="s">
        <v>1008</v>
      </c>
      <c r="D238" s="523"/>
      <c r="E238" s="2" t="s">
        <v>68</v>
      </c>
      <c r="F238" s="20">
        <v>200000</v>
      </c>
      <c r="G238" s="20">
        <v>200000</v>
      </c>
      <c r="H238" s="20">
        <v>200000</v>
      </c>
      <c r="I238" s="20">
        <v>200000</v>
      </c>
      <c r="J238" s="10"/>
      <c r="K238" s="308">
        <v>357654</v>
      </c>
      <c r="L238" s="309">
        <f>F238/K238</f>
        <v>0.55919967342739074</v>
      </c>
      <c r="M238" s="5"/>
    </row>
    <row r="239" spans="1:13" ht="26" hidden="1" outlineLevel="1" x14ac:dyDescent="0.3">
      <c r="A239" s="493">
        <v>8</v>
      </c>
      <c r="B239" s="497" t="s">
        <v>27</v>
      </c>
      <c r="C239" s="52"/>
      <c r="D239" s="51" t="s">
        <v>387</v>
      </c>
      <c r="E239" s="2" t="s">
        <v>67</v>
      </c>
      <c r="F239" s="20">
        <v>114226</v>
      </c>
      <c r="G239" s="20">
        <v>114226</v>
      </c>
      <c r="H239" s="20">
        <v>114226</v>
      </c>
      <c r="I239" s="20">
        <v>114226</v>
      </c>
      <c r="J239" s="10"/>
      <c r="K239" s="308">
        <v>1328214</v>
      </c>
      <c r="L239" s="309">
        <f t="shared" si="56"/>
        <v>8.5999695832147532E-2</v>
      </c>
      <c r="M239" s="5"/>
    </row>
    <row r="240" spans="1:13" ht="26" hidden="1" outlineLevel="1" x14ac:dyDescent="0.3">
      <c r="A240" s="508"/>
      <c r="B240" s="520"/>
      <c r="C240" s="52"/>
      <c r="D240" s="51" t="s">
        <v>387</v>
      </c>
      <c r="E240" s="2" t="s">
        <v>67</v>
      </c>
      <c r="F240" s="20">
        <v>37704</v>
      </c>
      <c r="G240" s="20">
        <v>37704</v>
      </c>
      <c r="H240" s="20">
        <v>37704</v>
      </c>
      <c r="I240" s="20">
        <v>37704</v>
      </c>
      <c r="J240" s="10"/>
      <c r="K240" s="308">
        <v>438415</v>
      </c>
      <c r="L240" s="309">
        <f t="shared" si="56"/>
        <v>8.6000707092594914E-2</v>
      </c>
      <c r="M240" s="5"/>
    </row>
    <row r="241" spans="1:13" ht="52" hidden="1" outlineLevel="1" x14ac:dyDescent="0.3">
      <c r="A241" s="494"/>
      <c r="B241" s="498"/>
      <c r="C241" s="52"/>
      <c r="D241" s="51" t="s">
        <v>387</v>
      </c>
      <c r="E241" s="2" t="s">
        <v>372</v>
      </c>
      <c r="F241" s="20">
        <v>55836</v>
      </c>
      <c r="G241" s="20">
        <v>55836</v>
      </c>
      <c r="H241" s="20">
        <v>55836</v>
      </c>
      <c r="I241" s="20">
        <v>55836</v>
      </c>
      <c r="J241" s="10"/>
      <c r="K241" s="308">
        <v>649252</v>
      </c>
      <c r="L241" s="309">
        <f t="shared" si="56"/>
        <v>8.6000505196749497E-2</v>
      </c>
      <c r="M241" s="5"/>
    </row>
    <row r="242" spans="1:13" ht="57" hidden="1" customHeight="1" outlineLevel="1" x14ac:dyDescent="0.3">
      <c r="A242" s="493">
        <v>9</v>
      </c>
      <c r="B242" s="497" t="s">
        <v>27</v>
      </c>
      <c r="C242" s="52" t="s">
        <v>388</v>
      </c>
      <c r="D242" s="521" t="s">
        <v>389</v>
      </c>
      <c r="E242" s="2" t="s">
        <v>372</v>
      </c>
      <c r="F242" s="20">
        <v>62180</v>
      </c>
      <c r="G242" s="20">
        <v>62180</v>
      </c>
      <c r="H242" s="20">
        <v>62180</v>
      </c>
      <c r="I242" s="20">
        <v>62180</v>
      </c>
      <c r="J242" s="10"/>
      <c r="K242" s="308">
        <v>723020</v>
      </c>
      <c r="L242" s="309">
        <f t="shared" si="56"/>
        <v>8.600038726452934E-2</v>
      </c>
      <c r="M242" s="5"/>
    </row>
    <row r="243" spans="1:13" ht="52" hidden="1" outlineLevel="1" x14ac:dyDescent="0.3">
      <c r="A243" s="494"/>
      <c r="B243" s="498"/>
      <c r="C243" s="52" t="s">
        <v>390</v>
      </c>
      <c r="D243" s="523"/>
      <c r="E243" s="2" t="s">
        <v>372</v>
      </c>
      <c r="F243" s="20">
        <v>24232</v>
      </c>
      <c r="G243" s="20">
        <v>24232</v>
      </c>
      <c r="H243" s="20">
        <v>24232</v>
      </c>
      <c r="I243" s="20">
        <v>24232</v>
      </c>
      <c r="J243" s="10"/>
      <c r="K243" s="308">
        <v>281772</v>
      </c>
      <c r="L243" s="309">
        <f t="shared" si="56"/>
        <v>8.5998608804281479E-2</v>
      </c>
      <c r="M243" s="5"/>
    </row>
    <row r="244" spans="1:13" ht="26" hidden="1" outlineLevel="1" x14ac:dyDescent="0.3">
      <c r="A244" s="7">
        <v>10</v>
      </c>
      <c r="B244" s="21" t="s">
        <v>27</v>
      </c>
      <c r="C244" s="52"/>
      <c r="D244" s="51" t="s">
        <v>391</v>
      </c>
      <c r="E244" s="2" t="s">
        <v>67</v>
      </c>
      <c r="F244" s="20">
        <v>88852</v>
      </c>
      <c r="G244" s="20">
        <v>88852</v>
      </c>
      <c r="H244" s="20">
        <v>88852</v>
      </c>
      <c r="I244" s="20">
        <v>88852</v>
      </c>
      <c r="J244" s="10"/>
      <c r="K244" s="308">
        <v>1018928</v>
      </c>
      <c r="L244" s="309">
        <f t="shared" si="56"/>
        <v>8.7201450936670699E-2</v>
      </c>
      <c r="M244" s="5"/>
    </row>
    <row r="245" spans="1:13" ht="52" hidden="1" outlineLevel="1" x14ac:dyDescent="0.3">
      <c r="A245" s="7">
        <v>11</v>
      </c>
      <c r="B245" s="21" t="s">
        <v>27</v>
      </c>
      <c r="C245" s="52"/>
      <c r="D245" s="51" t="s">
        <v>392</v>
      </c>
      <c r="E245" s="2" t="s">
        <v>67</v>
      </c>
      <c r="F245" s="20">
        <v>507067</v>
      </c>
      <c r="G245" s="20">
        <v>507067</v>
      </c>
      <c r="H245" s="20">
        <v>507067</v>
      </c>
      <c r="I245" s="20">
        <v>507067</v>
      </c>
      <c r="J245" s="10"/>
      <c r="K245" s="308">
        <v>5896127</v>
      </c>
      <c r="L245" s="309">
        <f t="shared" si="56"/>
        <v>8.6000013229023051E-2</v>
      </c>
      <c r="M245" s="5"/>
    </row>
    <row r="246" spans="1:13" ht="52" hidden="1" outlineLevel="1" x14ac:dyDescent="0.3">
      <c r="A246" s="7">
        <v>12</v>
      </c>
      <c r="B246" s="21" t="s">
        <v>27</v>
      </c>
      <c r="C246" s="52"/>
      <c r="D246" s="51" t="s">
        <v>393</v>
      </c>
      <c r="E246" s="2" t="s">
        <v>67</v>
      </c>
      <c r="F246" s="20">
        <v>64225</v>
      </c>
      <c r="G246" s="20">
        <v>64225</v>
      </c>
      <c r="H246" s="20">
        <v>64225</v>
      </c>
      <c r="I246" s="20">
        <v>64225</v>
      </c>
      <c r="J246" s="10"/>
      <c r="K246" s="308">
        <v>746799</v>
      </c>
      <c r="L246" s="309">
        <f t="shared" si="56"/>
        <v>8.6000382967840072E-2</v>
      </c>
      <c r="M246" s="5"/>
    </row>
    <row r="247" spans="1:13" ht="26.15" hidden="1" customHeight="1" outlineLevel="1" x14ac:dyDescent="0.3">
      <c r="A247" s="493">
        <v>13</v>
      </c>
      <c r="B247" s="497" t="s">
        <v>27</v>
      </c>
      <c r="C247" s="52" t="s">
        <v>394</v>
      </c>
      <c r="D247" s="521" t="s">
        <v>395</v>
      </c>
      <c r="E247" s="4" t="s">
        <v>65</v>
      </c>
      <c r="F247" s="20">
        <v>116244</v>
      </c>
      <c r="G247" s="20">
        <v>116244</v>
      </c>
      <c r="H247" s="20">
        <v>116244</v>
      </c>
      <c r="I247" s="20">
        <v>116244</v>
      </c>
      <c r="J247" s="10"/>
      <c r="K247" s="308">
        <v>3116566</v>
      </c>
      <c r="L247" s="309">
        <f t="shared" si="56"/>
        <v>3.729874483646424E-2</v>
      </c>
      <c r="M247" s="5"/>
    </row>
    <row r="248" spans="1:13" ht="26" hidden="1" outlineLevel="1" x14ac:dyDescent="0.3">
      <c r="A248" s="508"/>
      <c r="B248" s="520"/>
      <c r="C248" s="52" t="s">
        <v>396</v>
      </c>
      <c r="D248" s="522"/>
      <c r="E248" s="305" t="s">
        <v>66</v>
      </c>
      <c r="F248" s="20">
        <v>12729</v>
      </c>
      <c r="G248" s="20">
        <v>12729</v>
      </c>
      <c r="H248" s="20">
        <v>12729</v>
      </c>
      <c r="I248" s="20">
        <v>12729</v>
      </c>
      <c r="J248" s="10"/>
      <c r="K248" s="308">
        <v>12729</v>
      </c>
      <c r="L248" s="309">
        <f t="shared" si="56"/>
        <v>1</v>
      </c>
      <c r="M248" s="5"/>
    </row>
    <row r="249" spans="1:13" ht="26" hidden="1" outlineLevel="1" x14ac:dyDescent="0.3">
      <c r="A249" s="508"/>
      <c r="B249" s="520"/>
      <c r="C249" s="52" t="s">
        <v>397</v>
      </c>
      <c r="D249" s="522"/>
      <c r="E249" s="305" t="s">
        <v>66</v>
      </c>
      <c r="F249" s="20">
        <v>8163</v>
      </c>
      <c r="G249" s="20">
        <v>8163</v>
      </c>
      <c r="H249" s="20">
        <v>8163</v>
      </c>
      <c r="I249" s="20">
        <v>8163</v>
      </c>
      <c r="J249" s="10"/>
      <c r="K249" s="308">
        <v>20500</v>
      </c>
      <c r="L249" s="309">
        <f t="shared" si="56"/>
        <v>0.39819512195121953</v>
      </c>
      <c r="M249" s="5"/>
    </row>
    <row r="250" spans="1:13" ht="39" hidden="1" outlineLevel="1" x14ac:dyDescent="0.3">
      <c r="A250" s="508"/>
      <c r="B250" s="520"/>
      <c r="C250" s="52" t="s">
        <v>398</v>
      </c>
      <c r="D250" s="522"/>
      <c r="E250" s="305" t="s">
        <v>66</v>
      </c>
      <c r="F250" s="20">
        <v>8100</v>
      </c>
      <c r="G250" s="20">
        <v>8100</v>
      </c>
      <c r="H250" s="20">
        <v>8100</v>
      </c>
      <c r="I250" s="20">
        <v>8100</v>
      </c>
      <c r="J250" s="10"/>
      <c r="K250" s="308">
        <v>8100</v>
      </c>
      <c r="L250" s="309">
        <f t="shared" si="56"/>
        <v>1</v>
      </c>
      <c r="M250" s="5"/>
    </row>
    <row r="251" spans="1:13" ht="39" hidden="1" outlineLevel="1" x14ac:dyDescent="0.3">
      <c r="A251" s="508"/>
      <c r="B251" s="520"/>
      <c r="C251" s="52" t="s">
        <v>399</v>
      </c>
      <c r="D251" s="522"/>
      <c r="E251" s="305" t="s">
        <v>66</v>
      </c>
      <c r="F251" s="20">
        <v>6500</v>
      </c>
      <c r="G251" s="20">
        <v>6500</v>
      </c>
      <c r="H251" s="20">
        <v>6500</v>
      </c>
      <c r="I251" s="20">
        <v>6500</v>
      </c>
      <c r="J251" s="10"/>
      <c r="K251" s="308">
        <v>6500</v>
      </c>
      <c r="L251" s="309">
        <f t="shared" si="56"/>
        <v>1</v>
      </c>
      <c r="M251" s="5"/>
    </row>
    <row r="252" spans="1:13" ht="39" hidden="1" outlineLevel="1" x14ac:dyDescent="0.3">
      <c r="A252" s="508"/>
      <c r="B252" s="520"/>
      <c r="C252" s="52" t="s">
        <v>400</v>
      </c>
      <c r="D252" s="522"/>
      <c r="E252" s="305" t="s">
        <v>66</v>
      </c>
      <c r="F252" s="20">
        <v>10500</v>
      </c>
      <c r="G252" s="20">
        <v>10500</v>
      </c>
      <c r="H252" s="20">
        <v>10500</v>
      </c>
      <c r="I252" s="20">
        <v>10500</v>
      </c>
      <c r="J252" s="10"/>
      <c r="K252" s="308">
        <v>21000</v>
      </c>
      <c r="L252" s="309">
        <f t="shared" si="56"/>
        <v>0.5</v>
      </c>
      <c r="M252" s="5"/>
    </row>
    <row r="253" spans="1:13" ht="26" hidden="1" outlineLevel="1" x14ac:dyDescent="0.3">
      <c r="A253" s="508"/>
      <c r="B253" s="520"/>
      <c r="C253" s="52" t="s">
        <v>401</v>
      </c>
      <c r="D253" s="522"/>
      <c r="E253" s="305" t="s">
        <v>66</v>
      </c>
      <c r="F253" s="20">
        <v>16500</v>
      </c>
      <c r="G253" s="20">
        <v>16500</v>
      </c>
      <c r="H253" s="20">
        <v>16500</v>
      </c>
      <c r="I253" s="20">
        <v>16500</v>
      </c>
      <c r="J253" s="10"/>
      <c r="K253" s="308">
        <v>31000</v>
      </c>
      <c r="L253" s="309">
        <f t="shared" si="56"/>
        <v>0.532258064516129</v>
      </c>
      <c r="M253" s="5"/>
    </row>
    <row r="254" spans="1:13" ht="26" hidden="1" outlineLevel="1" x14ac:dyDescent="0.3">
      <c r="A254" s="508"/>
      <c r="B254" s="520"/>
      <c r="C254" s="52" t="s">
        <v>402</v>
      </c>
      <c r="D254" s="522"/>
      <c r="E254" s="305" t="s">
        <v>66</v>
      </c>
      <c r="F254" s="20">
        <v>2000</v>
      </c>
      <c r="G254" s="20">
        <v>2000</v>
      </c>
      <c r="H254" s="20">
        <v>2000</v>
      </c>
      <c r="I254" s="20">
        <v>2000</v>
      </c>
      <c r="J254" s="10"/>
      <c r="K254" s="308">
        <v>15200</v>
      </c>
      <c r="L254" s="309">
        <f t="shared" si="56"/>
        <v>0.13157894736842105</v>
      </c>
      <c r="M254" s="5"/>
    </row>
    <row r="255" spans="1:13" ht="26" hidden="1" outlineLevel="1" x14ac:dyDescent="0.3">
      <c r="A255" s="508"/>
      <c r="B255" s="520"/>
      <c r="C255" s="52" t="s">
        <v>403</v>
      </c>
      <c r="D255" s="522"/>
      <c r="E255" s="305" t="s">
        <v>66</v>
      </c>
      <c r="F255" s="20">
        <v>20000</v>
      </c>
      <c r="G255" s="20">
        <v>20000</v>
      </c>
      <c r="H255" s="20">
        <v>20000</v>
      </c>
      <c r="I255" s="20">
        <v>20000</v>
      </c>
      <c r="J255" s="10"/>
      <c r="K255" s="308">
        <v>24000</v>
      </c>
      <c r="L255" s="309">
        <f t="shared" si="56"/>
        <v>0.83333333333333337</v>
      </c>
      <c r="M255" s="5"/>
    </row>
    <row r="256" spans="1:13" ht="52" hidden="1" outlineLevel="1" x14ac:dyDescent="0.3">
      <c r="A256" s="494"/>
      <c r="B256" s="498"/>
      <c r="C256" s="52" t="s">
        <v>404</v>
      </c>
      <c r="D256" s="523"/>
      <c r="E256" s="2" t="s">
        <v>68</v>
      </c>
      <c r="F256" s="20">
        <v>100000</v>
      </c>
      <c r="G256" s="20">
        <v>100000</v>
      </c>
      <c r="H256" s="20">
        <v>100000</v>
      </c>
      <c r="I256" s="20">
        <v>100000</v>
      </c>
      <c r="J256" s="10"/>
      <c r="K256" s="308">
        <v>100000</v>
      </c>
      <c r="L256" s="309">
        <f t="shared" si="56"/>
        <v>1</v>
      </c>
      <c r="M256" s="5"/>
    </row>
    <row r="257" spans="1:13" ht="26" hidden="1" outlineLevel="1" x14ac:dyDescent="0.3">
      <c r="A257" s="524">
        <v>14</v>
      </c>
      <c r="B257" s="514" t="s">
        <v>27</v>
      </c>
      <c r="C257" s="52" t="s">
        <v>405</v>
      </c>
      <c r="D257" s="525" t="s">
        <v>210</v>
      </c>
      <c r="E257" s="4" t="s">
        <v>65</v>
      </c>
      <c r="F257" s="20">
        <v>249320</v>
      </c>
      <c r="G257" s="20">
        <v>253327</v>
      </c>
      <c r="H257" s="20">
        <v>249320</v>
      </c>
      <c r="I257" s="20">
        <v>253327</v>
      </c>
      <c r="J257" s="10"/>
      <c r="K257" s="308">
        <v>747720</v>
      </c>
      <c r="L257" s="309">
        <f t="shared" si="56"/>
        <v>0.3334403252554432</v>
      </c>
      <c r="M257" s="5"/>
    </row>
    <row r="258" spans="1:13" ht="26" hidden="1" outlineLevel="1" x14ac:dyDescent="0.3">
      <c r="A258" s="524"/>
      <c r="B258" s="514"/>
      <c r="C258" s="52" t="s">
        <v>406</v>
      </c>
      <c r="D258" s="525"/>
      <c r="E258" s="2" t="s">
        <v>66</v>
      </c>
      <c r="F258" s="20">
        <v>189707</v>
      </c>
      <c r="G258" s="20">
        <v>189707</v>
      </c>
      <c r="H258" s="20">
        <v>189707</v>
      </c>
      <c r="I258" s="20">
        <v>189707</v>
      </c>
      <c r="J258" s="10"/>
      <c r="K258" s="308">
        <v>1355373</v>
      </c>
      <c r="L258" s="309">
        <f>F258/K258</f>
        <v>0.13996663649047161</v>
      </c>
      <c r="M258" s="3"/>
    </row>
    <row r="259" spans="1:13" ht="26" hidden="1" outlineLevel="1" x14ac:dyDescent="0.3">
      <c r="A259" s="524"/>
      <c r="B259" s="514"/>
      <c r="C259" s="52" t="s">
        <v>1015</v>
      </c>
      <c r="D259" s="525"/>
      <c r="E259" s="2" t="s">
        <v>164</v>
      </c>
      <c r="F259" s="384">
        <v>245001</v>
      </c>
      <c r="G259" s="384">
        <v>240994</v>
      </c>
      <c r="H259" s="384">
        <v>245001</v>
      </c>
      <c r="I259" s="384">
        <v>240994</v>
      </c>
      <c r="J259" s="10"/>
      <c r="K259" s="308">
        <v>245001</v>
      </c>
      <c r="L259" s="309">
        <f>F259/K259</f>
        <v>1</v>
      </c>
      <c r="M259" s="3"/>
    </row>
    <row r="260" spans="1:13" collapsed="1" x14ac:dyDescent="0.3">
      <c r="A260" s="457" t="s">
        <v>407</v>
      </c>
      <c r="B260" s="458"/>
      <c r="C260" s="458"/>
      <c r="D260" s="458"/>
      <c r="E260" s="459"/>
      <c r="F260" s="43">
        <f>SUM(F267:F274)</f>
        <v>18087021</v>
      </c>
      <c r="G260" s="43">
        <f t="shared" ref="G260:H260" si="62">SUM(G267:G274)</f>
        <v>18091557</v>
      </c>
      <c r="H260" s="43">
        <f t="shared" si="62"/>
        <v>18096255</v>
      </c>
      <c r="I260" s="43">
        <f>SUM(I267:I274)</f>
        <v>18101119</v>
      </c>
      <c r="J260" s="43"/>
      <c r="K260" s="226"/>
      <c r="L260" s="220"/>
      <c r="M260" s="142"/>
    </row>
    <row r="261" spans="1:13" x14ac:dyDescent="0.3">
      <c r="A261" s="460" t="s">
        <v>408</v>
      </c>
      <c r="B261" s="461"/>
      <c r="C261" s="461"/>
      <c r="D261" s="461"/>
      <c r="E261" s="462"/>
      <c r="F261" s="131">
        <v>23220238</v>
      </c>
      <c r="G261" s="86"/>
      <c r="H261" s="86"/>
      <c r="I261" s="86"/>
      <c r="J261" s="143"/>
      <c r="K261" s="227"/>
      <c r="L261" s="221"/>
      <c r="M261" s="144"/>
    </row>
    <row r="262" spans="1:13" x14ac:dyDescent="0.3">
      <c r="A262" s="463" t="s">
        <v>409</v>
      </c>
      <c r="B262" s="464"/>
      <c r="C262" s="464"/>
      <c r="D262" s="464"/>
      <c r="E262" s="465"/>
      <c r="F262" s="42">
        <f>F261-F260</f>
        <v>5133217</v>
      </c>
      <c r="G262" s="87"/>
      <c r="H262" s="87"/>
      <c r="I262" s="87"/>
      <c r="J262" s="143"/>
      <c r="K262" s="227"/>
      <c r="L262" s="221"/>
      <c r="M262" s="144"/>
    </row>
    <row r="263" spans="1:13" x14ac:dyDescent="0.3">
      <c r="A263" s="475" t="s">
        <v>66</v>
      </c>
      <c r="B263" s="476"/>
      <c r="C263" s="476"/>
      <c r="D263" s="476"/>
      <c r="E263" s="477"/>
      <c r="F263" s="363">
        <f>F267+F273+F274</f>
        <v>753224</v>
      </c>
      <c r="G263" s="363">
        <f t="shared" ref="G263:I263" si="63">G267+G273+G274</f>
        <v>757760</v>
      </c>
      <c r="H263" s="363">
        <f t="shared" si="63"/>
        <v>762458</v>
      </c>
      <c r="I263" s="363">
        <f t="shared" si="63"/>
        <v>767322</v>
      </c>
      <c r="J263" s="367"/>
      <c r="K263" s="368"/>
      <c r="L263" s="369"/>
      <c r="M263" s="374"/>
    </row>
    <row r="264" spans="1:13" x14ac:dyDescent="0.3">
      <c r="A264" s="475" t="s">
        <v>67</v>
      </c>
      <c r="B264" s="476"/>
      <c r="C264" s="476"/>
      <c r="D264" s="476"/>
      <c r="E264" s="477"/>
      <c r="F264" s="363">
        <f>F272</f>
        <v>572418</v>
      </c>
      <c r="G264" s="363">
        <f t="shared" ref="G264:I264" si="64">G272</f>
        <v>572418</v>
      </c>
      <c r="H264" s="363">
        <f t="shared" si="64"/>
        <v>572418</v>
      </c>
      <c r="I264" s="363">
        <f t="shared" si="64"/>
        <v>572418</v>
      </c>
      <c r="J264" s="367"/>
      <c r="K264" s="368"/>
      <c r="L264" s="369"/>
      <c r="M264" s="374"/>
    </row>
    <row r="265" spans="1:13" x14ac:dyDescent="0.3">
      <c r="A265" s="475" t="s">
        <v>68</v>
      </c>
      <c r="B265" s="476"/>
      <c r="C265" s="476"/>
      <c r="D265" s="476"/>
      <c r="E265" s="477"/>
      <c r="F265" s="363">
        <f>F268+F269</f>
        <v>8596034</v>
      </c>
      <c r="G265" s="363">
        <f t="shared" ref="G265:I265" si="65">G268+G269</f>
        <v>8596034</v>
      </c>
      <c r="H265" s="363">
        <f t="shared" si="65"/>
        <v>8596034</v>
      </c>
      <c r="I265" s="363">
        <f t="shared" si="65"/>
        <v>8596034</v>
      </c>
      <c r="J265" s="367"/>
      <c r="K265" s="368"/>
      <c r="L265" s="369"/>
      <c r="M265" s="374"/>
    </row>
    <row r="266" spans="1:13" x14ac:dyDescent="0.3">
      <c r="A266" s="475" t="s">
        <v>71</v>
      </c>
      <c r="B266" s="476"/>
      <c r="C266" s="476"/>
      <c r="D266" s="476"/>
      <c r="E266" s="477"/>
      <c r="F266" s="363">
        <f>F270+F271</f>
        <v>8165345</v>
      </c>
      <c r="G266" s="363">
        <f t="shared" ref="G266:I266" si="66">G270+G271</f>
        <v>8165345</v>
      </c>
      <c r="H266" s="363">
        <f t="shared" si="66"/>
        <v>8165345</v>
      </c>
      <c r="I266" s="363">
        <f t="shared" si="66"/>
        <v>8165345</v>
      </c>
      <c r="J266" s="367"/>
      <c r="K266" s="368"/>
      <c r="L266" s="369"/>
      <c r="M266" s="374"/>
    </row>
    <row r="267" spans="1:13" ht="26" hidden="1" outlineLevel="1" x14ac:dyDescent="0.3">
      <c r="A267" s="493">
        <v>1</v>
      </c>
      <c r="B267" s="493" t="s">
        <v>28</v>
      </c>
      <c r="C267" s="530" t="s">
        <v>970</v>
      </c>
      <c r="D267" s="530" t="s">
        <v>410</v>
      </c>
      <c r="E267" s="8" t="s">
        <v>66</v>
      </c>
      <c r="F267" s="19">
        <v>540000</v>
      </c>
      <c r="G267" s="19">
        <v>540000</v>
      </c>
      <c r="H267" s="19">
        <v>540000</v>
      </c>
      <c r="I267" s="19">
        <v>540000</v>
      </c>
      <c r="J267" s="526" t="s">
        <v>411</v>
      </c>
      <c r="K267" s="310">
        <v>1194142</v>
      </c>
      <c r="L267" s="311">
        <f t="shared" si="56"/>
        <v>0.45220752640808209</v>
      </c>
      <c r="M267" s="528" t="s">
        <v>412</v>
      </c>
    </row>
    <row r="268" spans="1:13" ht="26" hidden="1" outlineLevel="1" x14ac:dyDescent="0.3">
      <c r="A268" s="494"/>
      <c r="B268" s="494"/>
      <c r="C268" s="531"/>
      <c r="D268" s="531"/>
      <c r="E268" s="314" t="s">
        <v>68</v>
      </c>
      <c r="F268" s="19">
        <v>100000</v>
      </c>
      <c r="G268" s="19">
        <v>100000</v>
      </c>
      <c r="H268" s="19">
        <v>100000</v>
      </c>
      <c r="I268" s="19">
        <v>100000</v>
      </c>
      <c r="J268" s="527"/>
      <c r="K268" s="310">
        <v>100000</v>
      </c>
      <c r="L268" s="311">
        <f t="shared" si="56"/>
        <v>1</v>
      </c>
      <c r="M268" s="529"/>
    </row>
    <row r="269" spans="1:13" ht="39" hidden="1" customHeight="1" outlineLevel="1" x14ac:dyDescent="0.3">
      <c r="A269" s="493">
        <v>2</v>
      </c>
      <c r="B269" s="493" t="s">
        <v>28</v>
      </c>
      <c r="C269" s="530" t="s">
        <v>413</v>
      </c>
      <c r="D269" s="530" t="s">
        <v>414</v>
      </c>
      <c r="E269" s="314" t="s">
        <v>68</v>
      </c>
      <c r="F269" s="19">
        <f>12496034-F270</f>
        <v>8496034</v>
      </c>
      <c r="G269" s="19">
        <f>12496034-G270</f>
        <v>8496034</v>
      </c>
      <c r="H269" s="19">
        <f>12496034-H270</f>
        <v>8496034</v>
      </c>
      <c r="I269" s="19">
        <f>12496034-I270</f>
        <v>8496034</v>
      </c>
      <c r="J269" s="530"/>
      <c r="K269" s="310">
        <v>143433613</v>
      </c>
      <c r="L269" s="311">
        <f t="shared" si="56"/>
        <v>5.9233214741651947E-2</v>
      </c>
      <c r="M269" s="528" t="s">
        <v>415</v>
      </c>
    </row>
    <row r="270" spans="1:13" ht="52" hidden="1" outlineLevel="1" x14ac:dyDescent="0.3">
      <c r="A270" s="494"/>
      <c r="B270" s="494"/>
      <c r="C270" s="531"/>
      <c r="D270" s="531"/>
      <c r="E270" s="314" t="s">
        <v>416</v>
      </c>
      <c r="F270" s="19">
        <v>4000000</v>
      </c>
      <c r="G270" s="19">
        <v>4000000</v>
      </c>
      <c r="H270" s="19">
        <v>4000000</v>
      </c>
      <c r="I270" s="19">
        <v>4000000</v>
      </c>
      <c r="J270" s="531"/>
      <c r="K270" s="310">
        <v>7002521</v>
      </c>
      <c r="L270" s="311">
        <f t="shared" si="56"/>
        <v>0.57122284959945135</v>
      </c>
      <c r="M270" s="529"/>
    </row>
    <row r="271" spans="1:13" ht="52" hidden="1" outlineLevel="1" x14ac:dyDescent="0.3">
      <c r="A271" s="7">
        <v>3</v>
      </c>
      <c r="B271" s="7" t="s">
        <v>28</v>
      </c>
      <c r="C271" s="130" t="s">
        <v>417</v>
      </c>
      <c r="D271" s="8" t="s">
        <v>418</v>
      </c>
      <c r="E271" s="314" t="s">
        <v>416</v>
      </c>
      <c r="F271" s="19">
        <v>4165345</v>
      </c>
      <c r="G271" s="19">
        <v>4165345</v>
      </c>
      <c r="H271" s="19">
        <v>4165345</v>
      </c>
      <c r="I271" s="19">
        <v>4165345</v>
      </c>
      <c r="J271" s="130"/>
      <c r="K271" s="310">
        <v>16177661</v>
      </c>
      <c r="L271" s="311">
        <f t="shared" si="56"/>
        <v>0.257475107186385</v>
      </c>
      <c r="M271" s="350" t="s">
        <v>415</v>
      </c>
    </row>
    <row r="272" spans="1:13" ht="39" hidden="1" outlineLevel="1" x14ac:dyDescent="0.3">
      <c r="A272" s="7">
        <v>4</v>
      </c>
      <c r="B272" s="7" t="s">
        <v>28</v>
      </c>
      <c r="C272" s="130" t="s">
        <v>971</v>
      </c>
      <c r="D272" s="8" t="s">
        <v>972</v>
      </c>
      <c r="E272" s="314" t="s">
        <v>67</v>
      </c>
      <c r="F272" s="85">
        <v>572418</v>
      </c>
      <c r="G272" s="85">
        <v>572418</v>
      </c>
      <c r="H272" s="85">
        <v>572418</v>
      </c>
      <c r="I272" s="85">
        <v>572418</v>
      </c>
      <c r="J272" s="130"/>
      <c r="K272" s="310">
        <v>672418</v>
      </c>
      <c r="L272" s="311">
        <f t="shared" si="56"/>
        <v>0.85128298171672978</v>
      </c>
      <c r="M272" s="350"/>
    </row>
    <row r="273" spans="1:13" ht="26" hidden="1" outlineLevel="1" x14ac:dyDescent="0.3">
      <c r="A273" s="7">
        <v>5</v>
      </c>
      <c r="B273" s="7" t="s">
        <v>28</v>
      </c>
      <c r="C273" s="130" t="s">
        <v>973</v>
      </c>
      <c r="D273" s="8" t="s">
        <v>410</v>
      </c>
      <c r="E273" s="314" t="s">
        <v>66</v>
      </c>
      <c r="F273" s="85">
        <v>62766</v>
      </c>
      <c r="G273" s="85">
        <v>62766</v>
      </c>
      <c r="H273" s="85">
        <v>62766</v>
      </c>
      <c r="I273" s="85">
        <v>62766</v>
      </c>
      <c r="J273" s="130"/>
      <c r="K273" s="310"/>
      <c r="L273" s="311" t="e">
        <f t="shared" si="56"/>
        <v>#DIV/0!</v>
      </c>
      <c r="M273" s="350"/>
    </row>
    <row r="274" spans="1:13" ht="39" hidden="1" outlineLevel="1" x14ac:dyDescent="0.3">
      <c r="A274" s="7">
        <v>6</v>
      </c>
      <c r="B274" s="7" t="s">
        <v>28</v>
      </c>
      <c r="C274" s="130" t="s">
        <v>974</v>
      </c>
      <c r="D274" s="8" t="s">
        <v>975</v>
      </c>
      <c r="E274" s="314" t="s">
        <v>66</v>
      </c>
      <c r="F274" s="85">
        <v>150458</v>
      </c>
      <c r="G274" s="85">
        <v>154994</v>
      </c>
      <c r="H274" s="85">
        <v>159692</v>
      </c>
      <c r="I274" s="85">
        <v>164556</v>
      </c>
      <c r="J274" s="130"/>
      <c r="K274" s="310">
        <v>236104</v>
      </c>
      <c r="L274" s="311">
        <f t="shared" si="56"/>
        <v>0.6372530749161387</v>
      </c>
      <c r="M274" s="350"/>
    </row>
    <row r="275" spans="1:13" ht="52" hidden="1" outlineLevel="1" x14ac:dyDescent="0.3">
      <c r="A275" s="7">
        <v>7</v>
      </c>
      <c r="B275" s="7" t="s">
        <v>28</v>
      </c>
      <c r="C275" s="314" t="s">
        <v>976</v>
      </c>
      <c r="D275" s="8" t="s">
        <v>50</v>
      </c>
      <c r="E275" s="8"/>
      <c r="F275" s="19">
        <v>5951250</v>
      </c>
      <c r="G275" s="19"/>
      <c r="H275" s="19"/>
      <c r="I275" s="19"/>
      <c r="J275" s="130"/>
      <c r="K275" s="310"/>
      <c r="L275" s="311" t="e">
        <f t="shared" si="56"/>
        <v>#DIV/0!</v>
      </c>
      <c r="M275" s="350" t="s">
        <v>419</v>
      </c>
    </row>
    <row r="276" spans="1:13" ht="78" hidden="1" outlineLevel="1" x14ac:dyDescent="0.3">
      <c r="A276" s="7">
        <v>8</v>
      </c>
      <c r="B276" s="7" t="s">
        <v>28</v>
      </c>
      <c r="C276" s="8" t="s">
        <v>977</v>
      </c>
      <c r="D276" s="8" t="s">
        <v>978</v>
      </c>
      <c r="E276" s="8"/>
      <c r="F276" s="85">
        <v>871200</v>
      </c>
      <c r="G276" s="85">
        <v>871200</v>
      </c>
      <c r="H276" s="85">
        <v>871200</v>
      </c>
      <c r="I276" s="85">
        <v>871200</v>
      </c>
      <c r="J276" s="130"/>
      <c r="K276" s="214"/>
      <c r="L276" s="219"/>
      <c r="M276" s="313" t="s">
        <v>979</v>
      </c>
    </row>
    <row r="277" spans="1:13" collapsed="1" x14ac:dyDescent="0.3">
      <c r="A277" s="457" t="s">
        <v>420</v>
      </c>
      <c r="B277" s="458"/>
      <c r="C277" s="458"/>
      <c r="D277" s="458"/>
      <c r="E277" s="459"/>
      <c r="F277" s="39">
        <f>SUM(F285:F296)</f>
        <v>2192794</v>
      </c>
      <c r="G277" s="39">
        <f t="shared" ref="G277:I277" si="67">SUM(G285:G296)</f>
        <v>2192794</v>
      </c>
      <c r="H277" s="39">
        <f t="shared" si="67"/>
        <v>2192794</v>
      </c>
      <c r="I277" s="39">
        <f t="shared" si="67"/>
        <v>2192794</v>
      </c>
      <c r="J277" s="141"/>
      <c r="K277" s="226"/>
      <c r="L277" s="220"/>
      <c r="M277" s="142"/>
    </row>
    <row r="278" spans="1:13" x14ac:dyDescent="0.3">
      <c r="A278" s="460" t="s">
        <v>421</v>
      </c>
      <c r="B278" s="461"/>
      <c r="C278" s="461"/>
      <c r="D278" s="461"/>
      <c r="E278" s="462"/>
      <c r="F278" s="40">
        <v>2192794</v>
      </c>
      <c r="G278" s="86"/>
      <c r="H278" s="86"/>
      <c r="I278" s="86"/>
      <c r="J278" s="143"/>
      <c r="K278" s="227"/>
      <c r="L278" s="221"/>
      <c r="M278" s="144"/>
    </row>
    <row r="279" spans="1:13" x14ac:dyDescent="0.3">
      <c r="A279" s="463" t="s">
        <v>422</v>
      </c>
      <c r="B279" s="464"/>
      <c r="C279" s="464"/>
      <c r="D279" s="464"/>
      <c r="E279" s="465"/>
      <c r="F279" s="42">
        <f>F278-F277</f>
        <v>0</v>
      </c>
      <c r="G279" s="87"/>
      <c r="H279" s="87"/>
      <c r="I279" s="87"/>
      <c r="J279" s="143"/>
      <c r="K279" s="227"/>
      <c r="L279" s="221"/>
      <c r="M279" s="144"/>
    </row>
    <row r="280" spans="1:13" x14ac:dyDescent="0.3">
      <c r="A280" s="475" t="s">
        <v>65</v>
      </c>
      <c r="B280" s="476"/>
      <c r="C280" s="476"/>
      <c r="D280" s="476"/>
      <c r="E280" s="477"/>
      <c r="F280" s="363">
        <f>F285+F289+F293+F296</f>
        <v>538483</v>
      </c>
      <c r="G280" s="363">
        <f t="shared" ref="G280:I280" si="68">G285+G289+G293+G296</f>
        <v>538483</v>
      </c>
      <c r="H280" s="363">
        <f t="shared" si="68"/>
        <v>538483</v>
      </c>
      <c r="I280" s="363">
        <f t="shared" si="68"/>
        <v>538483</v>
      </c>
      <c r="J280" s="327"/>
      <c r="K280" s="368"/>
      <c r="L280" s="369"/>
      <c r="M280" s="366"/>
    </row>
    <row r="281" spans="1:13" x14ac:dyDescent="0.3">
      <c r="A281" s="475" t="s">
        <v>66</v>
      </c>
      <c r="B281" s="476"/>
      <c r="C281" s="476"/>
      <c r="D281" s="476"/>
      <c r="E281" s="477"/>
      <c r="F281" s="363">
        <f>F286+F290+F294</f>
        <v>203267</v>
      </c>
      <c r="G281" s="363">
        <f t="shared" ref="G281:I282" si="69">G286+G290+G294</f>
        <v>0</v>
      </c>
      <c r="H281" s="363">
        <f t="shared" si="69"/>
        <v>0</v>
      </c>
      <c r="I281" s="363">
        <f t="shared" si="69"/>
        <v>0</v>
      </c>
      <c r="J281" s="327"/>
      <c r="K281" s="368"/>
      <c r="L281" s="369"/>
      <c r="M281" s="366"/>
    </row>
    <row r="282" spans="1:13" x14ac:dyDescent="0.3">
      <c r="A282" s="475" t="s">
        <v>68</v>
      </c>
      <c r="B282" s="476"/>
      <c r="C282" s="476"/>
      <c r="D282" s="476"/>
      <c r="E282" s="477"/>
      <c r="F282" s="363">
        <f>F287+F291+F295</f>
        <v>76554</v>
      </c>
      <c r="G282" s="363">
        <f t="shared" si="69"/>
        <v>0</v>
      </c>
      <c r="H282" s="363">
        <f t="shared" si="69"/>
        <v>0</v>
      </c>
      <c r="I282" s="363">
        <f t="shared" si="69"/>
        <v>0</v>
      </c>
      <c r="J282" s="327"/>
      <c r="K282" s="368"/>
      <c r="L282" s="369"/>
      <c r="M282" s="366"/>
    </row>
    <row r="283" spans="1:13" x14ac:dyDescent="0.3">
      <c r="A283" s="475" t="s">
        <v>69</v>
      </c>
      <c r="B283" s="476"/>
      <c r="C283" s="476"/>
      <c r="D283" s="476"/>
      <c r="E283" s="477"/>
      <c r="F283" s="363">
        <f>F288</f>
        <v>164795</v>
      </c>
      <c r="G283" s="363">
        <f t="shared" ref="G283:I283" si="70">G288</f>
        <v>1654311</v>
      </c>
      <c r="H283" s="363">
        <f t="shared" si="70"/>
        <v>1654311</v>
      </c>
      <c r="I283" s="363">
        <f t="shared" si="70"/>
        <v>1654311</v>
      </c>
      <c r="J283" s="327"/>
      <c r="K283" s="368"/>
      <c r="L283" s="369"/>
      <c r="M283" s="366"/>
    </row>
    <row r="284" spans="1:13" x14ac:dyDescent="0.3">
      <c r="A284" s="475" t="s">
        <v>70</v>
      </c>
      <c r="B284" s="476"/>
      <c r="C284" s="476"/>
      <c r="D284" s="476"/>
      <c r="E284" s="477"/>
      <c r="F284" s="363">
        <f>F292</f>
        <v>1209695</v>
      </c>
      <c r="G284" s="363">
        <f t="shared" ref="G284:I284" si="71">G292</f>
        <v>0</v>
      </c>
      <c r="H284" s="363">
        <f t="shared" si="71"/>
        <v>0</v>
      </c>
      <c r="I284" s="363">
        <f t="shared" si="71"/>
        <v>0</v>
      </c>
      <c r="J284" s="327"/>
      <c r="K284" s="368"/>
      <c r="L284" s="369"/>
      <c r="M284" s="366"/>
    </row>
    <row r="285" spans="1:13" ht="26" hidden="1" outlineLevel="1" x14ac:dyDescent="0.3">
      <c r="A285" s="7">
        <v>1</v>
      </c>
      <c r="B285" s="7" t="s">
        <v>29</v>
      </c>
      <c r="C285" s="1"/>
      <c r="D285" s="2" t="s">
        <v>423</v>
      </c>
      <c r="E285" s="8" t="s">
        <v>319</v>
      </c>
      <c r="F285" s="84">
        <v>214866</v>
      </c>
      <c r="G285" s="84">
        <v>214866</v>
      </c>
      <c r="H285" s="84">
        <v>214866</v>
      </c>
      <c r="I285" s="84">
        <v>214866</v>
      </c>
      <c r="J285" s="5"/>
      <c r="K285" s="310">
        <v>7162195</v>
      </c>
      <c r="L285" s="311">
        <f t="shared" ref="L285:L312" si="72">F285/K285</f>
        <v>3.0000020943300204E-2</v>
      </c>
      <c r="M285" s="53" t="s">
        <v>982</v>
      </c>
    </row>
    <row r="286" spans="1:13" ht="39" hidden="1" outlineLevel="1" x14ac:dyDescent="0.3">
      <c r="A286" s="7">
        <v>2</v>
      </c>
      <c r="B286" s="7" t="s">
        <v>29</v>
      </c>
      <c r="C286" s="1"/>
      <c r="D286" s="2" t="s">
        <v>423</v>
      </c>
      <c r="E286" s="8" t="s">
        <v>66</v>
      </c>
      <c r="F286" s="84">
        <v>100203</v>
      </c>
      <c r="G286" s="84"/>
      <c r="H286" s="84"/>
      <c r="I286" s="84"/>
      <c r="J286" s="5"/>
      <c r="K286" s="310">
        <v>1461161</v>
      </c>
      <c r="L286" s="311">
        <f t="shared" si="72"/>
        <v>6.8577658451053652E-2</v>
      </c>
      <c r="M286" s="53" t="s">
        <v>983</v>
      </c>
    </row>
    <row r="287" spans="1:13" ht="26" hidden="1" outlineLevel="1" x14ac:dyDescent="0.3">
      <c r="A287" s="7">
        <v>3</v>
      </c>
      <c r="B287" s="7" t="s">
        <v>29</v>
      </c>
      <c r="C287" s="1"/>
      <c r="D287" s="2" t="s">
        <v>423</v>
      </c>
      <c r="E287" s="8" t="s">
        <v>68</v>
      </c>
      <c r="F287" s="20">
        <v>60000</v>
      </c>
      <c r="G287" s="84"/>
      <c r="H287" s="84"/>
      <c r="I287" s="84"/>
      <c r="J287" s="5"/>
      <c r="K287" s="310">
        <v>140864</v>
      </c>
      <c r="L287" s="311">
        <f t="shared" si="72"/>
        <v>0.42594275329395731</v>
      </c>
      <c r="M287" s="53" t="s">
        <v>984</v>
      </c>
    </row>
    <row r="288" spans="1:13" ht="91" hidden="1" outlineLevel="1" x14ac:dyDescent="0.3">
      <c r="A288" s="7">
        <v>4</v>
      </c>
      <c r="B288" s="7" t="s">
        <v>29</v>
      </c>
      <c r="C288" s="1"/>
      <c r="D288" s="9" t="s">
        <v>424</v>
      </c>
      <c r="E288" s="2" t="s">
        <v>69</v>
      </c>
      <c r="F288" s="84">
        <v>164795</v>
      </c>
      <c r="G288" s="84">
        <v>1654311</v>
      </c>
      <c r="H288" s="84">
        <v>1654311</v>
      </c>
      <c r="I288" s="84">
        <v>1654311</v>
      </c>
      <c r="J288" s="10"/>
      <c r="K288" s="308">
        <v>118596552</v>
      </c>
      <c r="L288" s="309">
        <f t="shared" si="72"/>
        <v>1.3895429270152813E-3</v>
      </c>
      <c r="M288" s="53" t="s">
        <v>985</v>
      </c>
    </row>
    <row r="289" spans="1:13" ht="26" hidden="1" outlineLevel="1" x14ac:dyDescent="0.3">
      <c r="A289" s="7">
        <v>5</v>
      </c>
      <c r="B289" s="7" t="s">
        <v>29</v>
      </c>
      <c r="C289" s="1"/>
      <c r="D289" s="54" t="s">
        <v>425</v>
      </c>
      <c r="E289" s="8" t="s">
        <v>319</v>
      </c>
      <c r="F289" s="84">
        <v>123297</v>
      </c>
      <c r="G289" s="84">
        <v>123297</v>
      </c>
      <c r="H289" s="84">
        <v>123297</v>
      </c>
      <c r="I289" s="84">
        <v>123297</v>
      </c>
      <c r="J289" s="10"/>
      <c r="K289" s="308">
        <v>4109897</v>
      </c>
      <c r="L289" s="309">
        <f t="shared" si="72"/>
        <v>3.000002189835901E-2</v>
      </c>
      <c r="M289" s="53" t="s">
        <v>982</v>
      </c>
    </row>
    <row r="290" spans="1:13" ht="52" hidden="1" outlineLevel="1" x14ac:dyDescent="0.3">
      <c r="A290" s="7">
        <v>6</v>
      </c>
      <c r="B290" s="7" t="s">
        <v>29</v>
      </c>
      <c r="C290" s="1"/>
      <c r="D290" s="54" t="s">
        <v>425</v>
      </c>
      <c r="E290" s="8" t="s">
        <v>66</v>
      </c>
      <c r="F290" s="84">
        <v>38771</v>
      </c>
      <c r="G290" s="84"/>
      <c r="H290" s="84"/>
      <c r="I290" s="84"/>
      <c r="J290" s="10"/>
      <c r="K290" s="308">
        <v>432189</v>
      </c>
      <c r="L290" s="309">
        <f t="shared" si="72"/>
        <v>8.9708437743672334E-2</v>
      </c>
      <c r="M290" s="53" t="s">
        <v>426</v>
      </c>
    </row>
    <row r="291" spans="1:13" ht="26" hidden="1" outlineLevel="1" x14ac:dyDescent="0.3">
      <c r="A291" s="7">
        <v>7</v>
      </c>
      <c r="B291" s="7" t="s">
        <v>29</v>
      </c>
      <c r="C291" s="1"/>
      <c r="D291" s="54" t="s">
        <v>425</v>
      </c>
      <c r="E291" s="8" t="s">
        <v>68</v>
      </c>
      <c r="F291" s="20">
        <v>6554</v>
      </c>
      <c r="G291" s="84"/>
      <c r="H291" s="84"/>
      <c r="I291" s="84"/>
      <c r="J291" s="10"/>
      <c r="K291" s="308">
        <v>21717</v>
      </c>
      <c r="L291" s="309">
        <f t="shared" si="72"/>
        <v>0.30179122346548787</v>
      </c>
      <c r="M291" s="53" t="s">
        <v>986</v>
      </c>
    </row>
    <row r="292" spans="1:13" ht="117" hidden="1" outlineLevel="1" x14ac:dyDescent="0.3">
      <c r="A292" s="7">
        <v>8</v>
      </c>
      <c r="B292" s="7" t="s">
        <v>29</v>
      </c>
      <c r="C292" s="1"/>
      <c r="D292" s="5" t="s">
        <v>427</v>
      </c>
      <c r="E292" s="24" t="s">
        <v>428</v>
      </c>
      <c r="F292" s="84">
        <v>1209695</v>
      </c>
      <c r="G292" s="84"/>
      <c r="H292" s="84"/>
      <c r="I292" s="84"/>
      <c r="J292" s="53" t="s">
        <v>429</v>
      </c>
      <c r="K292" s="310">
        <v>2517962</v>
      </c>
      <c r="L292" s="311">
        <f t="shared" si="72"/>
        <v>0.48042623359685332</v>
      </c>
      <c r="M292" s="53" t="s">
        <v>987</v>
      </c>
    </row>
    <row r="293" spans="1:13" ht="26" hidden="1" outlineLevel="1" x14ac:dyDescent="0.3">
      <c r="A293" s="7">
        <v>9</v>
      </c>
      <c r="B293" s="7" t="s">
        <v>29</v>
      </c>
      <c r="C293" s="1"/>
      <c r="D293" s="5" t="s">
        <v>430</v>
      </c>
      <c r="E293" s="8" t="s">
        <v>319</v>
      </c>
      <c r="F293" s="84">
        <v>164498</v>
      </c>
      <c r="G293" s="84">
        <v>164498</v>
      </c>
      <c r="H293" s="84">
        <v>164498</v>
      </c>
      <c r="I293" s="84">
        <v>164498</v>
      </c>
      <c r="J293" s="10"/>
      <c r="K293" s="308">
        <v>5483259</v>
      </c>
      <c r="L293" s="309">
        <f t="shared" si="72"/>
        <v>3.000004194585738E-2</v>
      </c>
      <c r="M293" s="53" t="s">
        <v>982</v>
      </c>
    </row>
    <row r="294" spans="1:13" ht="26" hidden="1" outlineLevel="1" x14ac:dyDescent="0.3">
      <c r="A294" s="7">
        <v>10</v>
      </c>
      <c r="B294" s="7" t="s">
        <v>29</v>
      </c>
      <c r="C294" s="1"/>
      <c r="D294" s="5" t="s">
        <v>430</v>
      </c>
      <c r="E294" s="8" t="s">
        <v>66</v>
      </c>
      <c r="F294" s="84">
        <v>64293</v>
      </c>
      <c r="G294" s="84"/>
      <c r="H294" s="84"/>
      <c r="I294" s="84"/>
      <c r="J294" s="10"/>
      <c r="K294" s="308">
        <v>694614</v>
      </c>
      <c r="L294" s="309">
        <f t="shared" si="72"/>
        <v>9.2559320716253918E-2</v>
      </c>
      <c r="M294" s="53" t="s">
        <v>988</v>
      </c>
    </row>
    <row r="295" spans="1:13" ht="26" hidden="1" outlineLevel="1" x14ac:dyDescent="0.3">
      <c r="A295" s="7">
        <v>11</v>
      </c>
      <c r="B295" s="7" t="s">
        <v>29</v>
      </c>
      <c r="C295" s="1"/>
      <c r="D295" s="5" t="s">
        <v>430</v>
      </c>
      <c r="E295" s="8" t="s">
        <v>68</v>
      </c>
      <c r="F295" s="20">
        <v>10000</v>
      </c>
      <c r="G295" s="84"/>
      <c r="H295" s="84"/>
      <c r="I295" s="84"/>
      <c r="J295" s="10"/>
      <c r="K295" s="308">
        <v>48319</v>
      </c>
      <c r="L295" s="309">
        <f t="shared" si="72"/>
        <v>0.20695792545375524</v>
      </c>
      <c r="M295" s="53" t="s">
        <v>989</v>
      </c>
    </row>
    <row r="296" spans="1:13" ht="39" hidden="1" outlineLevel="1" x14ac:dyDescent="0.3">
      <c r="A296" s="7">
        <v>12</v>
      </c>
      <c r="B296" s="7" t="s">
        <v>29</v>
      </c>
      <c r="C296" s="1"/>
      <c r="D296" s="5" t="s">
        <v>431</v>
      </c>
      <c r="E296" s="8" t="s">
        <v>319</v>
      </c>
      <c r="F296" s="84">
        <v>35822</v>
      </c>
      <c r="G296" s="84">
        <v>35822</v>
      </c>
      <c r="H296" s="84">
        <v>35822</v>
      </c>
      <c r="I296" s="84">
        <v>35822</v>
      </c>
      <c r="J296" s="10"/>
      <c r="K296" s="308">
        <v>1194068</v>
      </c>
      <c r="L296" s="309">
        <f t="shared" si="72"/>
        <v>2.9999966501070292E-2</v>
      </c>
      <c r="M296" s="53" t="s">
        <v>990</v>
      </c>
    </row>
    <row r="297" spans="1:13" collapsed="1" x14ac:dyDescent="0.3">
      <c r="A297" s="457" t="s">
        <v>432</v>
      </c>
      <c r="B297" s="458"/>
      <c r="C297" s="458"/>
      <c r="D297" s="458"/>
      <c r="E297" s="459"/>
      <c r="F297" s="39">
        <f>F302+F303</f>
        <v>2215799</v>
      </c>
      <c r="G297" s="39">
        <f t="shared" ref="G297:I297" si="73">G302+G303</f>
        <v>2215799</v>
      </c>
      <c r="H297" s="39">
        <f t="shared" si="73"/>
        <v>2215799</v>
      </c>
      <c r="I297" s="39">
        <f t="shared" si="73"/>
        <v>2215799</v>
      </c>
      <c r="J297" s="141"/>
      <c r="K297" s="226"/>
      <c r="L297" s="220"/>
      <c r="M297" s="142"/>
    </row>
    <row r="298" spans="1:13" x14ac:dyDescent="0.3">
      <c r="A298" s="460" t="s">
        <v>433</v>
      </c>
      <c r="B298" s="461"/>
      <c r="C298" s="461"/>
      <c r="D298" s="461"/>
      <c r="E298" s="462"/>
      <c r="F298" s="99">
        <v>2215799</v>
      </c>
      <c r="G298" s="86"/>
      <c r="H298" s="86"/>
      <c r="I298" s="86"/>
      <c r="J298" s="143"/>
      <c r="K298" s="227"/>
      <c r="L298" s="221"/>
      <c r="M298" s="144"/>
    </row>
    <row r="299" spans="1:13" x14ac:dyDescent="0.3">
      <c r="A299" s="463" t="s">
        <v>434</v>
      </c>
      <c r="B299" s="464"/>
      <c r="C299" s="464"/>
      <c r="D299" s="464"/>
      <c r="E299" s="465"/>
      <c r="F299" s="44">
        <f>F298-F297</f>
        <v>0</v>
      </c>
      <c r="G299" s="87"/>
      <c r="H299" s="87"/>
      <c r="I299" s="87"/>
      <c r="J299" s="143"/>
      <c r="K299" s="227"/>
      <c r="L299" s="221"/>
      <c r="M299" s="144"/>
    </row>
    <row r="300" spans="1:13" x14ac:dyDescent="0.3">
      <c r="A300" s="475" t="s">
        <v>65</v>
      </c>
      <c r="B300" s="476"/>
      <c r="C300" s="476"/>
      <c r="D300" s="476"/>
      <c r="E300" s="477"/>
      <c r="F300" s="376">
        <f>F303</f>
        <v>587143</v>
      </c>
      <c r="G300" s="376">
        <f t="shared" ref="G300:I300" si="74">G303</f>
        <v>587143</v>
      </c>
      <c r="H300" s="376">
        <f t="shared" si="74"/>
        <v>587143</v>
      </c>
      <c r="I300" s="376">
        <f t="shared" si="74"/>
        <v>587143</v>
      </c>
      <c r="J300" s="327"/>
      <c r="K300" s="368"/>
      <c r="L300" s="369"/>
      <c r="M300" s="366"/>
    </row>
    <row r="301" spans="1:13" x14ac:dyDescent="0.3">
      <c r="A301" s="475" t="s">
        <v>69</v>
      </c>
      <c r="B301" s="476"/>
      <c r="C301" s="476"/>
      <c r="D301" s="476"/>
      <c r="E301" s="477"/>
      <c r="F301" s="376">
        <f>F302</f>
        <v>1628656</v>
      </c>
      <c r="G301" s="376">
        <f t="shared" ref="G301:I301" si="75">G302</f>
        <v>1628656</v>
      </c>
      <c r="H301" s="376">
        <f t="shared" si="75"/>
        <v>1628656</v>
      </c>
      <c r="I301" s="376">
        <f t="shared" si="75"/>
        <v>1628656</v>
      </c>
      <c r="J301" s="327"/>
      <c r="K301" s="368"/>
      <c r="L301" s="369"/>
      <c r="M301" s="366"/>
    </row>
    <row r="302" spans="1:13" ht="96" hidden="1" customHeight="1" outlineLevel="1" x14ac:dyDescent="0.3">
      <c r="A302" s="7">
        <v>1</v>
      </c>
      <c r="B302" s="7" t="s">
        <v>29</v>
      </c>
      <c r="C302" s="1"/>
      <c r="D302" s="5" t="s">
        <v>435</v>
      </c>
      <c r="E302" s="2" t="s">
        <v>69</v>
      </c>
      <c r="F302" s="84">
        <v>1628656</v>
      </c>
      <c r="G302" s="84">
        <v>1628656</v>
      </c>
      <c r="H302" s="84">
        <v>1628656</v>
      </c>
      <c r="I302" s="84">
        <v>1628656</v>
      </c>
      <c r="J302" s="5"/>
      <c r="K302" s="310">
        <v>207038597</v>
      </c>
      <c r="L302" s="311">
        <f t="shared" si="72"/>
        <v>7.8664366142318868E-3</v>
      </c>
      <c r="M302" s="53" t="s">
        <v>980</v>
      </c>
    </row>
    <row r="303" spans="1:13" ht="39" hidden="1" outlineLevel="1" x14ac:dyDescent="0.3">
      <c r="A303" s="7">
        <v>2</v>
      </c>
      <c r="B303" s="7" t="s">
        <v>29</v>
      </c>
      <c r="C303" s="1"/>
      <c r="D303" s="5" t="s">
        <v>436</v>
      </c>
      <c r="E303" s="8" t="s">
        <v>319</v>
      </c>
      <c r="F303" s="84">
        <v>587143</v>
      </c>
      <c r="G303" s="84">
        <v>587143</v>
      </c>
      <c r="H303" s="84">
        <v>587143</v>
      </c>
      <c r="I303" s="84">
        <v>587143</v>
      </c>
      <c r="J303" s="5"/>
      <c r="K303" s="310">
        <v>19571442</v>
      </c>
      <c r="L303" s="311">
        <f t="shared" si="72"/>
        <v>2.9999986715337584E-2</v>
      </c>
      <c r="M303" s="53" t="s">
        <v>981</v>
      </c>
    </row>
    <row r="304" spans="1:13" collapsed="1" x14ac:dyDescent="0.3">
      <c r="A304" s="457" t="s">
        <v>437</v>
      </c>
      <c r="B304" s="458"/>
      <c r="C304" s="458"/>
      <c r="D304" s="458"/>
      <c r="E304" s="459"/>
      <c r="F304" s="39">
        <f>SUM(F312:F325)</f>
        <v>12111241</v>
      </c>
      <c r="G304" s="39">
        <f t="shared" ref="G304:I304" si="76">SUM(G312:G325)</f>
        <v>6735433</v>
      </c>
      <c r="H304" s="39">
        <f t="shared" si="76"/>
        <v>6735433</v>
      </c>
      <c r="I304" s="39">
        <f t="shared" si="76"/>
        <v>6735433</v>
      </c>
      <c r="J304" s="141"/>
      <c r="K304" s="226"/>
      <c r="L304" s="220"/>
      <c r="M304" s="142"/>
    </row>
    <row r="305" spans="1:13" x14ac:dyDescent="0.3">
      <c r="A305" s="460" t="s">
        <v>438</v>
      </c>
      <c r="B305" s="461"/>
      <c r="C305" s="461"/>
      <c r="D305" s="461"/>
      <c r="E305" s="462"/>
      <c r="F305" s="99">
        <v>15947438</v>
      </c>
      <c r="G305" s="86"/>
      <c r="H305" s="86"/>
      <c r="I305" s="86"/>
      <c r="J305" s="143"/>
      <c r="K305" s="227"/>
      <c r="L305" s="221"/>
      <c r="M305" s="144"/>
    </row>
    <row r="306" spans="1:13" x14ac:dyDescent="0.3">
      <c r="A306" s="463" t="s">
        <v>439</v>
      </c>
      <c r="B306" s="464"/>
      <c r="C306" s="464"/>
      <c r="D306" s="464"/>
      <c r="E306" s="465"/>
      <c r="F306" s="44">
        <f>F305-F304</f>
        <v>3836197</v>
      </c>
      <c r="G306" s="87"/>
      <c r="H306" s="87"/>
      <c r="I306" s="87"/>
      <c r="J306" s="143"/>
      <c r="K306" s="227"/>
      <c r="L306" s="221"/>
      <c r="M306" s="144"/>
    </row>
    <row r="307" spans="1:13" x14ac:dyDescent="0.3">
      <c r="A307" s="475" t="s">
        <v>65</v>
      </c>
      <c r="B307" s="476"/>
      <c r="C307" s="476"/>
      <c r="D307" s="476"/>
      <c r="E307" s="477"/>
      <c r="F307" s="376">
        <f>F313+F316+F318+F321+F323</f>
        <v>233903</v>
      </c>
      <c r="G307" s="376">
        <f t="shared" ref="G307:I307" si="77">G313+G316+G318+G321+G323</f>
        <v>233903</v>
      </c>
      <c r="H307" s="376">
        <f t="shared" si="77"/>
        <v>233903</v>
      </c>
      <c r="I307" s="376">
        <f t="shared" si="77"/>
        <v>233903</v>
      </c>
      <c r="J307" s="327"/>
      <c r="K307" s="368"/>
      <c r="L307" s="369"/>
      <c r="M307" s="366"/>
    </row>
    <row r="308" spans="1:13" x14ac:dyDescent="0.3">
      <c r="A308" s="475" t="s">
        <v>66</v>
      </c>
      <c r="B308" s="476"/>
      <c r="C308" s="476"/>
      <c r="D308" s="476"/>
      <c r="E308" s="477"/>
      <c r="F308" s="376">
        <f>F312+F314+F315+F317+F319</f>
        <v>881530</v>
      </c>
      <c r="G308" s="376">
        <f t="shared" ref="G308:I308" si="78">G312+G314+G315+G317+G319</f>
        <v>881530</v>
      </c>
      <c r="H308" s="376">
        <f t="shared" si="78"/>
        <v>881530</v>
      </c>
      <c r="I308" s="376">
        <f t="shared" si="78"/>
        <v>881530</v>
      </c>
      <c r="J308" s="327"/>
      <c r="K308" s="368"/>
      <c r="L308" s="369"/>
      <c r="M308" s="366"/>
    </row>
    <row r="309" spans="1:13" x14ac:dyDescent="0.3">
      <c r="A309" s="475" t="s">
        <v>67</v>
      </c>
      <c r="B309" s="476"/>
      <c r="C309" s="476"/>
      <c r="D309" s="476"/>
      <c r="E309" s="477"/>
      <c r="F309" s="376">
        <f>F320+F324</f>
        <v>2100000</v>
      </c>
      <c r="G309" s="376">
        <f t="shared" ref="G309:I309" si="79">G320+G324</f>
        <v>2100000</v>
      </c>
      <c r="H309" s="376">
        <f t="shared" si="79"/>
        <v>2100000</v>
      </c>
      <c r="I309" s="376">
        <f t="shared" si="79"/>
        <v>2100000</v>
      </c>
      <c r="J309" s="327"/>
      <c r="K309" s="368"/>
      <c r="L309" s="369"/>
      <c r="M309" s="366"/>
    </row>
    <row r="310" spans="1:13" x14ac:dyDescent="0.3">
      <c r="A310" s="475" t="s">
        <v>68</v>
      </c>
      <c r="B310" s="476"/>
      <c r="C310" s="476"/>
      <c r="D310" s="476"/>
      <c r="E310" s="477"/>
      <c r="F310" s="376">
        <f>F325</f>
        <v>5375808</v>
      </c>
      <c r="G310" s="376">
        <f t="shared" ref="G310:I310" si="80">G325</f>
        <v>0</v>
      </c>
      <c r="H310" s="376">
        <f t="shared" si="80"/>
        <v>0</v>
      </c>
      <c r="I310" s="376">
        <f t="shared" si="80"/>
        <v>0</v>
      </c>
      <c r="J310" s="327"/>
      <c r="K310" s="368"/>
      <c r="L310" s="369"/>
      <c r="M310" s="366"/>
    </row>
    <row r="311" spans="1:13" x14ac:dyDescent="0.3">
      <c r="A311" s="475" t="s">
        <v>69</v>
      </c>
      <c r="B311" s="476"/>
      <c r="C311" s="476"/>
      <c r="D311" s="476"/>
      <c r="E311" s="477"/>
      <c r="F311" s="376">
        <f>F322</f>
        <v>3520000</v>
      </c>
      <c r="G311" s="376">
        <f t="shared" ref="G311:I311" si="81">G322</f>
        <v>3520000</v>
      </c>
      <c r="H311" s="376">
        <f t="shared" si="81"/>
        <v>3520000</v>
      </c>
      <c r="I311" s="376">
        <f t="shared" si="81"/>
        <v>3520000</v>
      </c>
      <c r="J311" s="327"/>
      <c r="K311" s="368"/>
      <c r="L311" s="369"/>
      <c r="M311" s="366"/>
    </row>
    <row r="312" spans="1:13" ht="78" hidden="1" outlineLevel="1" x14ac:dyDescent="0.3">
      <c r="A312" s="37">
        <v>1</v>
      </c>
      <c r="B312" s="7" t="s">
        <v>30</v>
      </c>
      <c r="C312" s="5" t="s">
        <v>440</v>
      </c>
      <c r="D312" s="5" t="s">
        <v>441</v>
      </c>
      <c r="E312" s="2" t="s">
        <v>66</v>
      </c>
      <c r="F312" s="95">
        <v>11424</v>
      </c>
      <c r="G312" s="95">
        <v>11424</v>
      </c>
      <c r="H312" s="95">
        <v>11424</v>
      </c>
      <c r="I312" s="95">
        <v>11424</v>
      </c>
      <c r="J312" s="5" t="s">
        <v>442</v>
      </c>
      <c r="K312" s="310">
        <v>14005</v>
      </c>
      <c r="L312" s="311">
        <f t="shared" si="72"/>
        <v>0.81570867547304537</v>
      </c>
      <c r="M312" s="211"/>
    </row>
    <row r="313" spans="1:13" ht="36.65" hidden="1" customHeight="1" outlineLevel="1" x14ac:dyDescent="0.3">
      <c r="A313" s="493">
        <v>2</v>
      </c>
      <c r="B313" s="493" t="s">
        <v>30</v>
      </c>
      <c r="C313" s="497" t="s">
        <v>443</v>
      </c>
      <c r="D313" s="497" t="s">
        <v>444</v>
      </c>
      <c r="E313" s="2" t="s">
        <v>65</v>
      </c>
      <c r="F313" s="95">
        <v>71894</v>
      </c>
      <c r="G313" s="95">
        <v>71894</v>
      </c>
      <c r="H313" s="95">
        <v>71894</v>
      </c>
      <c r="I313" s="95">
        <v>71894</v>
      </c>
      <c r="J313" s="495" t="s">
        <v>445</v>
      </c>
      <c r="K313" s="517">
        <v>959836</v>
      </c>
      <c r="L313" s="519">
        <f>(F313+F314)/K313</f>
        <v>0.42923999516584083</v>
      </c>
      <c r="M313" s="532" t="s">
        <v>1009</v>
      </c>
    </row>
    <row r="314" spans="1:13" ht="45.65" hidden="1" customHeight="1" outlineLevel="1" x14ac:dyDescent="0.3">
      <c r="A314" s="494"/>
      <c r="B314" s="494"/>
      <c r="C314" s="498"/>
      <c r="D314" s="498"/>
      <c r="E314" s="2" t="s">
        <v>66</v>
      </c>
      <c r="F314" s="95">
        <v>340106</v>
      </c>
      <c r="G314" s="95">
        <v>340106</v>
      </c>
      <c r="H314" s="95">
        <v>340106</v>
      </c>
      <c r="I314" s="95">
        <v>340106</v>
      </c>
      <c r="J314" s="496"/>
      <c r="K314" s="517"/>
      <c r="L314" s="519"/>
      <c r="M314" s="533"/>
    </row>
    <row r="315" spans="1:13" ht="78" hidden="1" outlineLevel="1" x14ac:dyDescent="0.3">
      <c r="A315" s="37">
        <v>3</v>
      </c>
      <c r="B315" s="7" t="s">
        <v>30</v>
      </c>
      <c r="C315" s="5" t="s">
        <v>446</v>
      </c>
      <c r="D315" s="5" t="s">
        <v>447</v>
      </c>
      <c r="E315" s="2" t="s">
        <v>66</v>
      </c>
      <c r="F315" s="95">
        <v>400000</v>
      </c>
      <c r="G315" s="95">
        <v>400000</v>
      </c>
      <c r="H315" s="95">
        <v>400000</v>
      </c>
      <c r="I315" s="95">
        <v>400000</v>
      </c>
      <c r="J315" s="5" t="s">
        <v>448</v>
      </c>
      <c r="K315" s="310">
        <v>892744</v>
      </c>
      <c r="L315" s="311">
        <f t="shared" ref="L315:L321" si="82">F315/K315</f>
        <v>0.44805677775487712</v>
      </c>
      <c r="M315" s="211"/>
    </row>
    <row r="316" spans="1:13" ht="78" hidden="1" outlineLevel="1" x14ac:dyDescent="0.3">
      <c r="A316" s="37">
        <v>4</v>
      </c>
      <c r="B316" s="7" t="s">
        <v>30</v>
      </c>
      <c r="C316" s="5" t="s">
        <v>449</v>
      </c>
      <c r="D316" s="5" t="s">
        <v>210</v>
      </c>
      <c r="E316" s="2" t="s">
        <v>65</v>
      </c>
      <c r="F316" s="95">
        <v>47009</v>
      </c>
      <c r="G316" s="95">
        <v>47009</v>
      </c>
      <c r="H316" s="95">
        <v>47009</v>
      </c>
      <c r="I316" s="95">
        <v>47009</v>
      </c>
      <c r="J316" s="5" t="s">
        <v>450</v>
      </c>
      <c r="K316" s="310">
        <v>68178</v>
      </c>
      <c r="L316" s="311">
        <f t="shared" si="82"/>
        <v>0.6895039455542844</v>
      </c>
      <c r="M316" s="211" t="s">
        <v>451</v>
      </c>
    </row>
    <row r="317" spans="1:13" ht="104" hidden="1" outlineLevel="1" x14ac:dyDescent="0.3">
      <c r="A317" s="37">
        <v>5</v>
      </c>
      <c r="B317" s="7" t="s">
        <v>30</v>
      </c>
      <c r="C317" s="5" t="s">
        <v>452</v>
      </c>
      <c r="D317" s="5" t="s">
        <v>453</v>
      </c>
      <c r="E317" s="2" t="s">
        <v>66</v>
      </c>
      <c r="F317" s="95">
        <v>60000</v>
      </c>
      <c r="G317" s="95">
        <v>60000</v>
      </c>
      <c r="H317" s="95">
        <v>60000</v>
      </c>
      <c r="I317" s="95">
        <v>60000</v>
      </c>
      <c r="J317" s="5" t="s">
        <v>454</v>
      </c>
      <c r="K317" s="310">
        <v>81675</v>
      </c>
      <c r="L317" s="311">
        <f t="shared" si="82"/>
        <v>0.7346189164370982</v>
      </c>
      <c r="M317" s="211"/>
    </row>
    <row r="318" spans="1:13" ht="91" hidden="1" outlineLevel="1" x14ac:dyDescent="0.3">
      <c r="A318" s="37">
        <v>6</v>
      </c>
      <c r="B318" s="7" t="s">
        <v>30</v>
      </c>
      <c r="C318" s="5" t="s">
        <v>455</v>
      </c>
      <c r="D318" s="5" t="s">
        <v>210</v>
      </c>
      <c r="E318" s="2" t="s">
        <v>65</v>
      </c>
      <c r="F318" s="95">
        <v>43000</v>
      </c>
      <c r="G318" s="95">
        <v>43000</v>
      </c>
      <c r="H318" s="95">
        <v>43000</v>
      </c>
      <c r="I318" s="95">
        <v>43000</v>
      </c>
      <c r="J318" s="5" t="s">
        <v>456</v>
      </c>
      <c r="K318" s="310">
        <v>400343</v>
      </c>
      <c r="L318" s="311">
        <f t="shared" si="82"/>
        <v>0.1074078977276985</v>
      </c>
      <c r="M318" s="211" t="s">
        <v>451</v>
      </c>
    </row>
    <row r="319" spans="1:13" ht="26" hidden="1" outlineLevel="1" x14ac:dyDescent="0.3">
      <c r="A319" s="37">
        <v>7</v>
      </c>
      <c r="B319" s="7" t="s">
        <v>30</v>
      </c>
      <c r="C319" s="24" t="s">
        <v>457</v>
      </c>
      <c r="D319" s="5" t="s">
        <v>453</v>
      </c>
      <c r="E319" s="2" t="s">
        <v>66</v>
      </c>
      <c r="F319" s="95">
        <v>70000</v>
      </c>
      <c r="G319" s="95">
        <v>70000</v>
      </c>
      <c r="H319" s="95">
        <v>70000</v>
      </c>
      <c r="I319" s="95">
        <v>70000</v>
      </c>
      <c r="J319" s="5"/>
      <c r="K319" s="310">
        <v>398075</v>
      </c>
      <c r="L319" s="311">
        <f t="shared" si="82"/>
        <v>0.17584626012686053</v>
      </c>
      <c r="M319" s="211"/>
    </row>
    <row r="320" spans="1:13" ht="26" hidden="1" outlineLevel="1" x14ac:dyDescent="0.3">
      <c r="A320" s="37">
        <v>8</v>
      </c>
      <c r="B320" s="7" t="s">
        <v>30</v>
      </c>
      <c r="C320" s="5" t="s">
        <v>458</v>
      </c>
      <c r="D320" s="5" t="s">
        <v>459</v>
      </c>
      <c r="E320" s="2" t="s">
        <v>67</v>
      </c>
      <c r="F320" s="95">
        <v>150000</v>
      </c>
      <c r="G320" s="95">
        <v>150000</v>
      </c>
      <c r="H320" s="95">
        <v>150000</v>
      </c>
      <c r="I320" s="95">
        <v>150000</v>
      </c>
      <c r="J320" s="5"/>
      <c r="K320" s="310">
        <v>150000</v>
      </c>
      <c r="L320" s="311">
        <f t="shared" si="82"/>
        <v>1</v>
      </c>
      <c r="M320" s="211"/>
    </row>
    <row r="321" spans="1:18" hidden="1" outlineLevel="1" x14ac:dyDescent="0.3">
      <c r="A321" s="37">
        <v>9</v>
      </c>
      <c r="B321" s="7" t="s">
        <v>30</v>
      </c>
      <c r="C321" s="5" t="s">
        <v>460</v>
      </c>
      <c r="D321" s="5" t="s">
        <v>461</v>
      </c>
      <c r="E321" s="2" t="s">
        <v>65</v>
      </c>
      <c r="F321" s="95">
        <v>22000</v>
      </c>
      <c r="G321" s="95">
        <v>22000</v>
      </c>
      <c r="H321" s="95">
        <v>22000</v>
      </c>
      <c r="I321" s="95">
        <v>22000</v>
      </c>
      <c r="J321" s="5"/>
      <c r="K321" s="310">
        <v>339501</v>
      </c>
      <c r="L321" s="311">
        <f t="shared" si="82"/>
        <v>6.4800987331406976E-2</v>
      </c>
      <c r="M321" s="211" t="s">
        <v>451</v>
      </c>
    </row>
    <row r="322" spans="1:18" ht="39" hidden="1" outlineLevel="1" x14ac:dyDescent="0.3">
      <c r="A322" s="37">
        <v>10</v>
      </c>
      <c r="B322" s="7" t="s">
        <v>30</v>
      </c>
      <c r="C322" s="5" t="s">
        <v>462</v>
      </c>
      <c r="D322" s="5" t="s">
        <v>463</v>
      </c>
      <c r="E322" s="2" t="s">
        <v>69</v>
      </c>
      <c r="F322" s="95">
        <v>3520000</v>
      </c>
      <c r="G322" s="95">
        <v>3520000</v>
      </c>
      <c r="H322" s="95">
        <v>3520000</v>
      </c>
      <c r="I322" s="95">
        <v>3520000</v>
      </c>
      <c r="J322" s="5"/>
      <c r="K322" s="310">
        <v>40714285</v>
      </c>
      <c r="L322" s="311">
        <f>F322/K322</f>
        <v>8.6456141867651617E-2</v>
      </c>
      <c r="M322" s="211" t="s">
        <v>464</v>
      </c>
    </row>
    <row r="323" spans="1:18" ht="14.5" hidden="1" customHeight="1" outlineLevel="1" x14ac:dyDescent="0.3">
      <c r="A323" s="493">
        <v>11</v>
      </c>
      <c r="B323" s="493" t="s">
        <v>30</v>
      </c>
      <c r="C323" s="495" t="s">
        <v>465</v>
      </c>
      <c r="D323" s="495" t="s">
        <v>466</v>
      </c>
      <c r="E323" s="2" t="s">
        <v>65</v>
      </c>
      <c r="F323" s="95">
        <v>50000</v>
      </c>
      <c r="G323" s="95">
        <v>50000</v>
      </c>
      <c r="H323" s="95">
        <v>50000</v>
      </c>
      <c r="I323" s="95">
        <v>50000</v>
      </c>
      <c r="J323" s="5"/>
      <c r="K323" s="517">
        <v>2000000</v>
      </c>
      <c r="L323" s="519">
        <f>(F324+F323)/K323</f>
        <v>1</v>
      </c>
      <c r="M323" s="532" t="s">
        <v>1010</v>
      </c>
    </row>
    <row r="324" spans="1:18" ht="26" hidden="1" outlineLevel="1" x14ac:dyDescent="0.3">
      <c r="A324" s="494"/>
      <c r="B324" s="494"/>
      <c r="C324" s="496"/>
      <c r="D324" s="496"/>
      <c r="E324" s="2" t="s">
        <v>67</v>
      </c>
      <c r="F324" s="95">
        <v>1950000</v>
      </c>
      <c r="G324" s="95">
        <v>1950000</v>
      </c>
      <c r="H324" s="95">
        <v>1950000</v>
      </c>
      <c r="I324" s="95">
        <v>1950000</v>
      </c>
      <c r="J324" s="5"/>
      <c r="K324" s="517"/>
      <c r="L324" s="519"/>
      <c r="M324" s="533"/>
      <c r="R324" s="212"/>
    </row>
    <row r="325" spans="1:18" ht="39" hidden="1" outlineLevel="1" x14ac:dyDescent="0.3">
      <c r="A325" s="7">
        <v>12</v>
      </c>
      <c r="B325" s="7" t="s">
        <v>30</v>
      </c>
      <c r="C325" s="5" t="s">
        <v>992</v>
      </c>
      <c r="D325" s="5" t="s">
        <v>993</v>
      </c>
      <c r="E325" s="2" t="s">
        <v>68</v>
      </c>
      <c r="F325" s="95">
        <v>5375808</v>
      </c>
      <c r="G325" s="95"/>
      <c r="H325" s="95"/>
      <c r="I325" s="95"/>
      <c r="J325" s="3"/>
      <c r="K325" s="310">
        <v>29086574</v>
      </c>
      <c r="L325" s="311">
        <f>F325/K325</f>
        <v>0.18482094178571873</v>
      </c>
      <c r="M325" s="318" t="s">
        <v>994</v>
      </c>
      <c r="R325" s="212"/>
    </row>
    <row r="326" spans="1:18" collapsed="1" x14ac:dyDescent="0.3">
      <c r="A326" s="457" t="s">
        <v>467</v>
      </c>
      <c r="B326" s="458"/>
      <c r="C326" s="458"/>
      <c r="D326" s="458"/>
      <c r="E326" s="459"/>
      <c r="F326" s="39">
        <f>F330+F331</f>
        <v>2492977</v>
      </c>
      <c r="G326" s="39">
        <f t="shared" ref="G326:I326" si="83">G330+G331</f>
        <v>2492977</v>
      </c>
      <c r="H326" s="39">
        <f t="shared" si="83"/>
        <v>2492977</v>
      </c>
      <c r="I326" s="39">
        <f t="shared" si="83"/>
        <v>2492977</v>
      </c>
      <c r="J326" s="141"/>
      <c r="K326" s="341"/>
      <c r="L326" s="342"/>
      <c r="M326" s="351"/>
    </row>
    <row r="327" spans="1:18" x14ac:dyDescent="0.3">
      <c r="A327" s="460" t="s">
        <v>468</v>
      </c>
      <c r="B327" s="461"/>
      <c r="C327" s="461"/>
      <c r="D327" s="461"/>
      <c r="E327" s="462"/>
      <c r="F327" s="99">
        <v>2492977</v>
      </c>
      <c r="G327" s="86"/>
      <c r="H327" s="86"/>
      <c r="I327" s="86"/>
      <c r="J327" s="143"/>
      <c r="K327" s="343"/>
      <c r="L327" s="344"/>
      <c r="M327" s="352"/>
    </row>
    <row r="328" spans="1:18" x14ac:dyDescent="0.3">
      <c r="A328" s="463" t="s">
        <v>469</v>
      </c>
      <c r="B328" s="464"/>
      <c r="C328" s="464"/>
      <c r="D328" s="464"/>
      <c r="E328" s="465"/>
      <c r="F328" s="44">
        <f>F327-F326</f>
        <v>0</v>
      </c>
      <c r="G328" s="87"/>
      <c r="H328" s="87"/>
      <c r="I328" s="87"/>
      <c r="J328" s="143"/>
      <c r="K328" s="343"/>
      <c r="L328" s="344"/>
      <c r="M328" s="352"/>
    </row>
    <row r="329" spans="1:18" x14ac:dyDescent="0.3">
      <c r="A329" s="475" t="s">
        <v>66</v>
      </c>
      <c r="B329" s="476"/>
      <c r="C329" s="476"/>
      <c r="D329" s="476"/>
      <c r="E329" s="477"/>
      <c r="F329" s="376">
        <f>F330+F331</f>
        <v>2492977</v>
      </c>
      <c r="G329" s="376">
        <f t="shared" ref="G329:I329" si="84">G330+G331</f>
        <v>2492977</v>
      </c>
      <c r="H329" s="376">
        <f t="shared" si="84"/>
        <v>2492977</v>
      </c>
      <c r="I329" s="376">
        <f t="shared" si="84"/>
        <v>2492977</v>
      </c>
      <c r="J329" s="327"/>
      <c r="K329" s="372"/>
      <c r="L329" s="373"/>
      <c r="M329" s="378"/>
    </row>
    <row r="330" spans="1:18" ht="89.25" hidden="1" customHeight="1" outlineLevel="1" x14ac:dyDescent="0.3">
      <c r="A330" s="7">
        <v>1</v>
      </c>
      <c r="B330" s="21" t="s">
        <v>470</v>
      </c>
      <c r="C330" s="2" t="s">
        <v>471</v>
      </c>
      <c r="D330" s="5" t="s">
        <v>472</v>
      </c>
      <c r="E330" s="48" t="s">
        <v>66</v>
      </c>
      <c r="F330" s="84">
        <v>1246489</v>
      </c>
      <c r="G330" s="84">
        <v>1246489</v>
      </c>
      <c r="H330" s="84">
        <v>1246489</v>
      </c>
      <c r="I330" s="84">
        <v>1246489</v>
      </c>
      <c r="J330" s="10"/>
      <c r="K330" s="308">
        <v>3813836</v>
      </c>
      <c r="L330" s="309">
        <f t="shared" ref="L330:L363" si="85">F330/K330</f>
        <v>0.32683340342898853</v>
      </c>
      <c r="M330" s="209"/>
    </row>
    <row r="331" spans="1:18" ht="43.5" hidden="1" customHeight="1" outlineLevel="1" x14ac:dyDescent="0.3">
      <c r="A331" s="7">
        <v>2</v>
      </c>
      <c r="B331" s="21" t="s">
        <v>470</v>
      </c>
      <c r="C331" s="2" t="s">
        <v>473</v>
      </c>
      <c r="D331" s="5" t="s">
        <v>210</v>
      </c>
      <c r="E331" s="49" t="s">
        <v>66</v>
      </c>
      <c r="F331" s="84">
        <v>1246488</v>
      </c>
      <c r="G331" s="84">
        <v>1246488</v>
      </c>
      <c r="H331" s="84">
        <v>1246488</v>
      </c>
      <c r="I331" s="84">
        <v>1246488</v>
      </c>
      <c r="J331" s="10"/>
      <c r="K331" s="353">
        <v>4438607</v>
      </c>
      <c r="L331" s="309">
        <f>F331/K331</f>
        <v>0.28082864736616692</v>
      </c>
      <c r="M331" s="209"/>
    </row>
    <row r="332" spans="1:18" collapsed="1" x14ac:dyDescent="0.3">
      <c r="A332" s="457" t="s">
        <v>474</v>
      </c>
      <c r="B332" s="458"/>
      <c r="C332" s="458"/>
      <c r="D332" s="458"/>
      <c r="E332" s="459"/>
      <c r="F332" s="39">
        <f>SUM(F341:F383)</f>
        <v>3535291</v>
      </c>
      <c r="G332" s="39">
        <f t="shared" ref="G332:I332" si="86">SUM(G341:G383)</f>
        <v>3535291</v>
      </c>
      <c r="H332" s="39">
        <f t="shared" si="86"/>
        <v>3535291</v>
      </c>
      <c r="I332" s="39">
        <f t="shared" si="86"/>
        <v>3535291</v>
      </c>
      <c r="J332" s="141"/>
      <c r="K332" s="226"/>
      <c r="L332" s="220"/>
      <c r="M332" s="142"/>
    </row>
    <row r="333" spans="1:18" x14ac:dyDescent="0.3">
      <c r="A333" s="460" t="s">
        <v>475</v>
      </c>
      <c r="B333" s="461"/>
      <c r="C333" s="461"/>
      <c r="D333" s="461"/>
      <c r="E333" s="462"/>
      <c r="F333" s="99">
        <v>3535291</v>
      </c>
      <c r="G333" s="86"/>
      <c r="H333" s="86"/>
      <c r="I333" s="86"/>
      <c r="J333" s="143"/>
      <c r="K333" s="227"/>
      <c r="L333" s="221"/>
      <c r="M333" s="144"/>
    </row>
    <row r="334" spans="1:18" x14ac:dyDescent="0.3">
      <c r="A334" s="463" t="s">
        <v>476</v>
      </c>
      <c r="B334" s="464"/>
      <c r="C334" s="464"/>
      <c r="D334" s="464"/>
      <c r="E334" s="465"/>
      <c r="F334" s="44">
        <f>F333-F332</f>
        <v>0</v>
      </c>
      <c r="G334" s="87"/>
      <c r="H334" s="87"/>
      <c r="I334" s="87"/>
      <c r="J334" s="380"/>
      <c r="K334" s="227"/>
      <c r="L334" s="221"/>
      <c r="M334" s="144"/>
    </row>
    <row r="335" spans="1:18" x14ac:dyDescent="0.3">
      <c r="A335" s="475" t="s">
        <v>66</v>
      </c>
      <c r="B335" s="476"/>
      <c r="C335" s="476"/>
      <c r="D335" s="476"/>
      <c r="E335" s="477"/>
      <c r="F335" s="376">
        <f>F344+F347+F349+F352+F357+F358+F362+F363+F364+F366+F369+F382</f>
        <v>815043</v>
      </c>
      <c r="G335" s="376">
        <f t="shared" ref="G335:I335" si="87">G344+G347+G349+G352+G357+G358+G362+G363+G364+G366+G369+G382</f>
        <v>815043</v>
      </c>
      <c r="H335" s="376">
        <f t="shared" si="87"/>
        <v>833241</v>
      </c>
      <c r="I335" s="376">
        <f t="shared" si="87"/>
        <v>833241</v>
      </c>
      <c r="J335" s="382"/>
      <c r="K335" s="368"/>
      <c r="L335" s="369"/>
      <c r="M335" s="374"/>
    </row>
    <row r="336" spans="1:18" x14ac:dyDescent="0.3">
      <c r="A336" s="475" t="s">
        <v>67</v>
      </c>
      <c r="B336" s="476"/>
      <c r="C336" s="476"/>
      <c r="D336" s="476"/>
      <c r="E336" s="477"/>
      <c r="F336" s="376">
        <f>F341+F353+F361+F370</f>
        <v>569963</v>
      </c>
      <c r="G336" s="376">
        <f t="shared" ref="G336:I336" si="88">G341+G353+G361+G370</f>
        <v>569963</v>
      </c>
      <c r="H336" s="376">
        <f t="shared" si="88"/>
        <v>569963</v>
      </c>
      <c r="I336" s="376">
        <f t="shared" si="88"/>
        <v>569963</v>
      </c>
      <c r="J336" s="382"/>
      <c r="K336" s="368"/>
      <c r="L336" s="369"/>
      <c r="M336" s="374"/>
    </row>
    <row r="337" spans="1:13" x14ac:dyDescent="0.3">
      <c r="A337" s="475" t="s">
        <v>68</v>
      </c>
      <c r="B337" s="476"/>
      <c r="C337" s="476"/>
      <c r="D337" s="476"/>
      <c r="E337" s="477"/>
      <c r="F337" s="376">
        <f>F345+F346+F348+F351+F376+F377+F378+F379+F380+F381</f>
        <v>1242854</v>
      </c>
      <c r="G337" s="376">
        <f t="shared" ref="G337:I337" si="89">G345+G346+G348+G351+G376+G377+G378+G379+G380+G381</f>
        <v>1242854</v>
      </c>
      <c r="H337" s="376">
        <f t="shared" si="89"/>
        <v>1242854</v>
      </c>
      <c r="I337" s="376">
        <f t="shared" si="89"/>
        <v>1242854</v>
      </c>
      <c r="J337" s="382"/>
      <c r="K337" s="368"/>
      <c r="L337" s="369"/>
      <c r="M337" s="374"/>
    </row>
    <row r="338" spans="1:13" x14ac:dyDescent="0.3">
      <c r="A338" s="475" t="s">
        <v>69</v>
      </c>
      <c r="B338" s="476"/>
      <c r="C338" s="476"/>
      <c r="D338" s="476"/>
      <c r="E338" s="477"/>
      <c r="F338" s="376">
        <f>F350</f>
        <v>200000</v>
      </c>
      <c r="G338" s="376">
        <f t="shared" ref="G338:I338" si="90">G350</f>
        <v>200000</v>
      </c>
      <c r="H338" s="376">
        <f t="shared" si="90"/>
        <v>200000</v>
      </c>
      <c r="I338" s="376">
        <f t="shared" si="90"/>
        <v>200000</v>
      </c>
      <c r="J338" s="382"/>
      <c r="K338" s="368"/>
      <c r="L338" s="369"/>
      <c r="M338" s="374"/>
    </row>
    <row r="339" spans="1:13" x14ac:dyDescent="0.3">
      <c r="A339" s="475" t="s">
        <v>70</v>
      </c>
      <c r="B339" s="476"/>
      <c r="C339" s="476"/>
      <c r="D339" s="476"/>
      <c r="E339" s="477"/>
      <c r="F339" s="376">
        <f>F342+F343+F354+F355+F356+F359+F360+F367+F368+F371+F373+F375+F383</f>
        <v>641272</v>
      </c>
      <c r="G339" s="376">
        <f t="shared" ref="G339:I339" si="91">G342+G343+G354+G355+G356+G359+G360+G367+G368+G371+G373+G375+G383</f>
        <v>641272</v>
      </c>
      <c r="H339" s="376">
        <f t="shared" si="91"/>
        <v>623074</v>
      </c>
      <c r="I339" s="376">
        <f t="shared" si="91"/>
        <v>623074</v>
      </c>
      <c r="J339" s="382"/>
      <c r="K339" s="368"/>
      <c r="L339" s="369"/>
      <c r="M339" s="374"/>
    </row>
    <row r="340" spans="1:13" x14ac:dyDescent="0.3">
      <c r="A340" s="475" t="s">
        <v>71</v>
      </c>
      <c r="B340" s="476"/>
      <c r="C340" s="476"/>
      <c r="D340" s="476"/>
      <c r="E340" s="477"/>
      <c r="F340" s="376">
        <f>F365+F372+F374</f>
        <v>66159</v>
      </c>
      <c r="G340" s="376">
        <f t="shared" ref="G340:I340" si="92">G365+G372+G374</f>
        <v>66159</v>
      </c>
      <c r="H340" s="376">
        <f t="shared" si="92"/>
        <v>66159</v>
      </c>
      <c r="I340" s="376">
        <f t="shared" si="92"/>
        <v>66159</v>
      </c>
      <c r="J340" s="382"/>
      <c r="K340" s="368"/>
      <c r="L340" s="369"/>
      <c r="M340" s="374"/>
    </row>
    <row r="341" spans="1:13" ht="26" hidden="1" outlineLevel="1" x14ac:dyDescent="0.3">
      <c r="A341" s="524">
        <v>1</v>
      </c>
      <c r="B341" s="514" t="s">
        <v>32</v>
      </c>
      <c r="C341" s="495" t="s">
        <v>477</v>
      </c>
      <c r="D341" s="495" t="s">
        <v>478</v>
      </c>
      <c r="E341" s="2" t="s">
        <v>67</v>
      </c>
      <c r="F341" s="95">
        <v>514918</v>
      </c>
      <c r="G341" s="95">
        <v>514918</v>
      </c>
      <c r="H341" s="95">
        <v>514918</v>
      </c>
      <c r="I341" s="95">
        <v>514918</v>
      </c>
      <c r="J341" s="213"/>
      <c r="K341" s="381">
        <v>3400645</v>
      </c>
      <c r="L341" s="309">
        <f>F341/K341</f>
        <v>0.15141774575117367</v>
      </c>
      <c r="M341" s="534" t="s">
        <v>479</v>
      </c>
    </row>
    <row r="342" spans="1:13" ht="52" hidden="1" outlineLevel="1" x14ac:dyDescent="0.3">
      <c r="A342" s="524"/>
      <c r="B342" s="514"/>
      <c r="C342" s="509"/>
      <c r="D342" s="509"/>
      <c r="E342" s="47" t="s">
        <v>428</v>
      </c>
      <c r="F342" s="95">
        <v>59053</v>
      </c>
      <c r="G342" s="95">
        <v>59053</v>
      </c>
      <c r="H342" s="95">
        <v>59053</v>
      </c>
      <c r="I342" s="95">
        <v>59053</v>
      </c>
      <c r="J342" s="213"/>
      <c r="K342" s="354">
        <v>390000</v>
      </c>
      <c r="L342" s="309">
        <f>F342/K342</f>
        <v>0.15141794871794872</v>
      </c>
      <c r="M342" s="535"/>
    </row>
    <row r="343" spans="1:13" ht="104" hidden="1" outlineLevel="1" x14ac:dyDescent="0.3">
      <c r="A343" s="524"/>
      <c r="B343" s="514"/>
      <c r="C343" s="496"/>
      <c r="D343" s="496"/>
      <c r="E343" s="2" t="s">
        <v>170</v>
      </c>
      <c r="F343" s="95">
        <v>52996</v>
      </c>
      <c r="G343" s="95">
        <v>52996</v>
      </c>
      <c r="H343" s="95">
        <v>52996</v>
      </c>
      <c r="I343" s="95">
        <v>52996</v>
      </c>
      <c r="J343" s="213"/>
      <c r="K343" s="354">
        <v>350000</v>
      </c>
      <c r="L343" s="309">
        <f>F343/K343</f>
        <v>0.15141714285714286</v>
      </c>
      <c r="M343" s="536"/>
    </row>
    <row r="344" spans="1:13" ht="26" hidden="1" outlineLevel="1" x14ac:dyDescent="0.3">
      <c r="A344" s="524">
        <v>2</v>
      </c>
      <c r="B344" s="514" t="s">
        <v>32</v>
      </c>
      <c r="C344" s="495" t="s">
        <v>480</v>
      </c>
      <c r="D344" s="495" t="s">
        <v>481</v>
      </c>
      <c r="E344" s="48" t="s">
        <v>66</v>
      </c>
      <c r="F344" s="95">
        <v>160798</v>
      </c>
      <c r="G344" s="95">
        <v>160798</v>
      </c>
      <c r="H344" s="95">
        <v>160798</v>
      </c>
      <c r="I344" s="95">
        <v>160798</v>
      </c>
      <c r="J344" s="10"/>
      <c r="K344" s="332">
        <v>1061949</v>
      </c>
      <c r="L344" s="309">
        <f t="shared" si="85"/>
        <v>0.15141781761647688</v>
      </c>
      <c r="M344" s="534" t="s">
        <v>482</v>
      </c>
    </row>
    <row r="345" spans="1:13" ht="26" hidden="1" outlineLevel="1" x14ac:dyDescent="0.3">
      <c r="A345" s="524"/>
      <c r="B345" s="514"/>
      <c r="C345" s="496"/>
      <c r="D345" s="496"/>
      <c r="E345" s="49" t="s">
        <v>68</v>
      </c>
      <c r="F345" s="95">
        <v>6814</v>
      </c>
      <c r="G345" s="95">
        <v>6814</v>
      </c>
      <c r="H345" s="95">
        <v>6814</v>
      </c>
      <c r="I345" s="95">
        <v>6814</v>
      </c>
      <c r="J345" s="10"/>
      <c r="K345" s="308">
        <v>45000</v>
      </c>
      <c r="L345" s="309">
        <f t="shared" si="85"/>
        <v>0.15142222222222224</v>
      </c>
      <c r="M345" s="536"/>
    </row>
    <row r="346" spans="1:13" ht="52" hidden="1" outlineLevel="1" x14ac:dyDescent="0.3">
      <c r="A346" s="7">
        <v>3</v>
      </c>
      <c r="B346" s="21" t="s">
        <v>32</v>
      </c>
      <c r="C346" s="5" t="s">
        <v>483</v>
      </c>
      <c r="D346" s="5" t="s">
        <v>484</v>
      </c>
      <c r="E346" s="49" t="s">
        <v>68</v>
      </c>
      <c r="F346" s="95">
        <v>64294</v>
      </c>
      <c r="G346" s="95">
        <v>64294</v>
      </c>
      <c r="H346" s="95">
        <v>64294</v>
      </c>
      <c r="I346" s="95">
        <v>64294</v>
      </c>
      <c r="J346" s="10"/>
      <c r="K346" s="308">
        <v>152639</v>
      </c>
      <c r="L346" s="309">
        <f t="shared" si="85"/>
        <v>0.42121607190822791</v>
      </c>
      <c r="M346" s="318" t="s">
        <v>485</v>
      </c>
    </row>
    <row r="347" spans="1:13" ht="30.75" hidden="1" customHeight="1" outlineLevel="1" x14ac:dyDescent="0.3">
      <c r="A347" s="524">
        <v>4</v>
      </c>
      <c r="B347" s="514" t="s">
        <v>32</v>
      </c>
      <c r="C347" s="497"/>
      <c r="D347" s="495" t="s">
        <v>486</v>
      </c>
      <c r="E347" s="49" t="s">
        <v>66</v>
      </c>
      <c r="F347" s="95">
        <v>27019</v>
      </c>
      <c r="G347" s="95">
        <v>27019</v>
      </c>
      <c r="H347" s="95">
        <v>27019</v>
      </c>
      <c r="I347" s="95">
        <v>27019</v>
      </c>
      <c r="J347" s="10"/>
      <c r="K347" s="356">
        <v>27437</v>
      </c>
      <c r="L347" s="331">
        <f t="shared" si="85"/>
        <v>0.98476509822502456</v>
      </c>
      <c r="M347" s="534" t="s">
        <v>487</v>
      </c>
    </row>
    <row r="348" spans="1:13" ht="33" hidden="1" customHeight="1" outlineLevel="1" x14ac:dyDescent="0.3">
      <c r="A348" s="524"/>
      <c r="B348" s="514"/>
      <c r="C348" s="498"/>
      <c r="D348" s="496"/>
      <c r="E348" s="49" t="s">
        <v>68</v>
      </c>
      <c r="F348" s="95">
        <f>4593-1</f>
        <v>4592</v>
      </c>
      <c r="G348" s="95">
        <f t="shared" ref="G348:I348" si="93">4593-1</f>
        <v>4592</v>
      </c>
      <c r="H348" s="95">
        <f t="shared" si="93"/>
        <v>4592</v>
      </c>
      <c r="I348" s="95">
        <f t="shared" si="93"/>
        <v>4592</v>
      </c>
      <c r="J348" s="10"/>
      <c r="K348" s="357">
        <v>5332</v>
      </c>
      <c r="L348" s="331">
        <f t="shared" si="85"/>
        <v>0.86121530382595646</v>
      </c>
      <c r="M348" s="536"/>
    </row>
    <row r="349" spans="1:13" ht="52" hidden="1" outlineLevel="1" x14ac:dyDescent="0.3">
      <c r="A349" s="524">
        <v>5</v>
      </c>
      <c r="B349" s="514" t="s">
        <v>32</v>
      </c>
      <c r="C349" s="497"/>
      <c r="D349" s="495" t="s">
        <v>488</v>
      </c>
      <c r="E349" s="49" t="s">
        <v>66</v>
      </c>
      <c r="F349" s="95">
        <v>247325</v>
      </c>
      <c r="G349" s="95">
        <v>247325</v>
      </c>
      <c r="H349" s="95">
        <v>247325</v>
      </c>
      <c r="I349" s="95">
        <v>247325</v>
      </c>
      <c r="J349" s="10"/>
      <c r="K349" s="308">
        <v>2263690</v>
      </c>
      <c r="L349" s="309">
        <f t="shared" si="85"/>
        <v>0.10925745132946649</v>
      </c>
      <c r="M349" s="318" t="s">
        <v>489</v>
      </c>
    </row>
    <row r="350" spans="1:13" ht="78" hidden="1" outlineLevel="1" x14ac:dyDescent="0.3">
      <c r="A350" s="524"/>
      <c r="B350" s="514"/>
      <c r="C350" s="520"/>
      <c r="D350" s="509"/>
      <c r="E350" s="49" t="s">
        <v>69</v>
      </c>
      <c r="F350" s="95">
        <v>200000</v>
      </c>
      <c r="G350" s="95">
        <v>200000</v>
      </c>
      <c r="H350" s="95">
        <v>200000</v>
      </c>
      <c r="I350" s="95">
        <v>200000</v>
      </c>
      <c r="J350" s="10"/>
      <c r="K350" s="308">
        <v>819604</v>
      </c>
      <c r="L350" s="309">
        <f t="shared" si="85"/>
        <v>0.24402028296592013</v>
      </c>
      <c r="M350" s="317" t="s">
        <v>490</v>
      </c>
    </row>
    <row r="351" spans="1:13" ht="26" hidden="1" outlineLevel="1" x14ac:dyDescent="0.3">
      <c r="A351" s="524"/>
      <c r="B351" s="514"/>
      <c r="C351" s="498"/>
      <c r="D351" s="496"/>
      <c r="E351" s="49" t="s">
        <v>68</v>
      </c>
      <c r="F351" s="95">
        <v>102337</v>
      </c>
      <c r="G351" s="95">
        <v>102337</v>
      </c>
      <c r="H351" s="95">
        <v>102337</v>
      </c>
      <c r="I351" s="95">
        <v>102337</v>
      </c>
      <c r="J351" s="10"/>
      <c r="K351" s="308">
        <v>181337</v>
      </c>
      <c r="L351" s="309">
        <f t="shared" si="85"/>
        <v>0.56434704445314521</v>
      </c>
      <c r="M351" s="5" t="s">
        <v>491</v>
      </c>
    </row>
    <row r="352" spans="1:13" ht="26" hidden="1" outlineLevel="1" x14ac:dyDescent="0.3">
      <c r="A352" s="524">
        <v>6</v>
      </c>
      <c r="B352" s="514" t="s">
        <v>32</v>
      </c>
      <c r="C352" s="495" t="s">
        <v>492</v>
      </c>
      <c r="D352" s="495" t="s">
        <v>493</v>
      </c>
      <c r="E352" s="49" t="s">
        <v>66</v>
      </c>
      <c r="F352" s="95">
        <v>7919</v>
      </c>
      <c r="G352" s="95">
        <v>7919</v>
      </c>
      <c r="H352" s="95">
        <v>7919</v>
      </c>
      <c r="I352" s="95">
        <v>7919</v>
      </c>
      <c r="J352" s="10"/>
      <c r="K352" s="484">
        <v>259300</v>
      </c>
      <c r="L352" s="489">
        <f>(F352+F353+F354)/K352</f>
        <v>0.15141920555341304</v>
      </c>
      <c r="M352" s="5" t="s">
        <v>494</v>
      </c>
    </row>
    <row r="353" spans="1:13" ht="26" hidden="1" outlineLevel="1" x14ac:dyDescent="0.3">
      <c r="A353" s="524"/>
      <c r="B353" s="514"/>
      <c r="C353" s="509"/>
      <c r="D353" s="509"/>
      <c r="E353" s="2" t="s">
        <v>67</v>
      </c>
      <c r="F353" s="95">
        <v>25604</v>
      </c>
      <c r="G353" s="95">
        <v>25604</v>
      </c>
      <c r="H353" s="95">
        <v>25604</v>
      </c>
      <c r="I353" s="95">
        <v>25604</v>
      </c>
      <c r="J353" s="10"/>
      <c r="K353" s="491"/>
      <c r="L353" s="492"/>
      <c r="M353" s="5" t="s">
        <v>495</v>
      </c>
    </row>
    <row r="354" spans="1:13" ht="78" hidden="1" customHeight="1" outlineLevel="1" x14ac:dyDescent="0.3">
      <c r="A354" s="524"/>
      <c r="B354" s="514"/>
      <c r="C354" s="496"/>
      <c r="D354" s="509"/>
      <c r="E354" s="2" t="s">
        <v>496</v>
      </c>
      <c r="F354" s="95">
        <v>5740</v>
      </c>
      <c r="G354" s="95">
        <v>5740</v>
      </c>
      <c r="H354" s="95">
        <v>5740</v>
      </c>
      <c r="I354" s="95">
        <v>5740</v>
      </c>
      <c r="J354" s="10"/>
      <c r="K354" s="485"/>
      <c r="L354" s="490"/>
      <c r="M354" s="5" t="s">
        <v>497</v>
      </c>
    </row>
    <row r="355" spans="1:13" ht="65.150000000000006" hidden="1" customHeight="1" outlineLevel="1" x14ac:dyDescent="0.3">
      <c r="A355" s="524">
        <v>7</v>
      </c>
      <c r="B355" s="514" t="s">
        <v>32</v>
      </c>
      <c r="C355" s="495" t="s">
        <v>498</v>
      </c>
      <c r="D355" s="509"/>
      <c r="E355" s="2" t="s">
        <v>499</v>
      </c>
      <c r="F355" s="95">
        <v>341</v>
      </c>
      <c r="G355" s="95">
        <v>341</v>
      </c>
      <c r="H355" s="95">
        <v>341</v>
      </c>
      <c r="I355" s="95">
        <v>341</v>
      </c>
      <c r="J355" s="10"/>
      <c r="K355" s="484">
        <v>12196</v>
      </c>
      <c r="L355" s="489">
        <f>(F355+F356)/K355</f>
        <v>0.15144309609708101</v>
      </c>
      <c r="M355" s="5" t="s">
        <v>500</v>
      </c>
    </row>
    <row r="356" spans="1:13" ht="52" hidden="1" customHeight="1" outlineLevel="1" x14ac:dyDescent="0.3">
      <c r="A356" s="524"/>
      <c r="B356" s="514"/>
      <c r="C356" s="496"/>
      <c r="D356" s="509"/>
      <c r="E356" s="47" t="s">
        <v>428</v>
      </c>
      <c r="F356" s="95">
        <v>1506</v>
      </c>
      <c r="G356" s="95">
        <v>1506</v>
      </c>
      <c r="H356" s="95">
        <v>1506</v>
      </c>
      <c r="I356" s="95">
        <v>1506</v>
      </c>
      <c r="J356" s="10"/>
      <c r="K356" s="485"/>
      <c r="L356" s="490"/>
      <c r="M356" s="5" t="s">
        <v>501</v>
      </c>
    </row>
    <row r="357" spans="1:13" ht="78" hidden="1" outlineLevel="1" x14ac:dyDescent="0.3">
      <c r="A357" s="7">
        <v>8</v>
      </c>
      <c r="B357" s="21" t="s">
        <v>32</v>
      </c>
      <c r="C357" s="5" t="s">
        <v>502</v>
      </c>
      <c r="D357" s="509"/>
      <c r="E357" s="49" t="s">
        <v>66</v>
      </c>
      <c r="F357" s="95">
        <v>59078</v>
      </c>
      <c r="G357" s="95">
        <v>59078</v>
      </c>
      <c r="H357" s="95">
        <v>59078</v>
      </c>
      <c r="I357" s="95">
        <v>59078</v>
      </c>
      <c r="J357" s="10"/>
      <c r="K357" s="308">
        <v>390163</v>
      </c>
      <c r="L357" s="309">
        <f t="shared" si="85"/>
        <v>0.15141876600292697</v>
      </c>
      <c r="M357" s="3" t="s">
        <v>503</v>
      </c>
    </row>
    <row r="358" spans="1:13" ht="52" hidden="1" outlineLevel="1" x14ac:dyDescent="0.3">
      <c r="A358" s="7">
        <v>9</v>
      </c>
      <c r="B358" s="21" t="s">
        <v>32</v>
      </c>
      <c r="C358" s="495" t="s">
        <v>504</v>
      </c>
      <c r="D358" s="509"/>
      <c r="E358" s="49" t="s">
        <v>66</v>
      </c>
      <c r="F358" s="95">
        <v>1350</v>
      </c>
      <c r="G358" s="95">
        <v>1350</v>
      </c>
      <c r="H358" s="95">
        <v>1350</v>
      </c>
      <c r="I358" s="95">
        <v>1350</v>
      </c>
      <c r="J358" s="10"/>
      <c r="K358" s="484">
        <v>856999</v>
      </c>
      <c r="L358" s="489">
        <f>(F358+F359)/K358</f>
        <v>0.15141674611055556</v>
      </c>
      <c r="M358" s="534" t="s">
        <v>505</v>
      </c>
    </row>
    <row r="359" spans="1:13" ht="52" hidden="1" customHeight="1" outlineLevel="1" x14ac:dyDescent="0.3">
      <c r="A359" s="7">
        <v>10</v>
      </c>
      <c r="B359" s="21" t="s">
        <v>32</v>
      </c>
      <c r="C359" s="496"/>
      <c r="D359" s="509"/>
      <c r="E359" s="47" t="s">
        <v>428</v>
      </c>
      <c r="F359" s="95">
        <v>128414</v>
      </c>
      <c r="G359" s="95">
        <v>128414</v>
      </c>
      <c r="H359" s="95">
        <v>128414</v>
      </c>
      <c r="I359" s="95">
        <v>128414</v>
      </c>
      <c r="J359" s="10"/>
      <c r="K359" s="485"/>
      <c r="L359" s="490"/>
      <c r="M359" s="536"/>
    </row>
    <row r="360" spans="1:13" ht="104" hidden="1" outlineLevel="1" x14ac:dyDescent="0.3">
      <c r="A360" s="7">
        <v>11</v>
      </c>
      <c r="B360" s="21" t="s">
        <v>32</v>
      </c>
      <c r="C360" s="5" t="s">
        <v>506</v>
      </c>
      <c r="D360" s="509"/>
      <c r="E360" s="2" t="s">
        <v>170</v>
      </c>
      <c r="F360" s="95">
        <v>3331</v>
      </c>
      <c r="G360" s="95">
        <v>3331</v>
      </c>
      <c r="H360" s="95">
        <v>3331</v>
      </c>
      <c r="I360" s="95">
        <v>3331</v>
      </c>
      <c r="J360" s="10"/>
      <c r="K360" s="308">
        <v>22000</v>
      </c>
      <c r="L360" s="309">
        <f t="shared" si="85"/>
        <v>0.15140909090909091</v>
      </c>
      <c r="M360" s="318" t="s">
        <v>507</v>
      </c>
    </row>
    <row r="361" spans="1:13" ht="52" hidden="1" outlineLevel="1" x14ac:dyDescent="0.3">
      <c r="A361" s="7">
        <v>12</v>
      </c>
      <c r="B361" s="21" t="s">
        <v>32</v>
      </c>
      <c r="C361" s="5" t="s">
        <v>508</v>
      </c>
      <c r="D361" s="509"/>
      <c r="E361" s="2" t="s">
        <v>67</v>
      </c>
      <c r="F361" s="95">
        <v>11689</v>
      </c>
      <c r="G361" s="95">
        <v>11689</v>
      </c>
      <c r="H361" s="95">
        <v>11689</v>
      </c>
      <c r="I361" s="95">
        <v>11689</v>
      </c>
      <c r="J361" s="10"/>
      <c r="K361" s="308">
        <v>77200</v>
      </c>
      <c r="L361" s="309">
        <f t="shared" si="85"/>
        <v>0.15141191709844559</v>
      </c>
      <c r="M361" s="209"/>
    </row>
    <row r="362" spans="1:13" ht="52" hidden="1" outlineLevel="1" x14ac:dyDescent="0.3">
      <c r="A362" s="7">
        <v>13</v>
      </c>
      <c r="B362" s="21" t="s">
        <v>32</v>
      </c>
      <c r="C362" s="5" t="s">
        <v>509</v>
      </c>
      <c r="D362" s="509"/>
      <c r="E362" s="49" t="s">
        <v>66</v>
      </c>
      <c r="F362" s="95">
        <v>26263</v>
      </c>
      <c r="G362" s="95">
        <v>26263</v>
      </c>
      <c r="H362" s="95">
        <v>26263</v>
      </c>
      <c r="I362" s="95">
        <v>26263</v>
      </c>
      <c r="J362" s="10"/>
      <c r="K362" s="308">
        <v>173448</v>
      </c>
      <c r="L362" s="309">
        <f t="shared" si="85"/>
        <v>0.15141713943083807</v>
      </c>
      <c r="M362" s="209"/>
    </row>
    <row r="363" spans="1:13" ht="52" hidden="1" outlineLevel="1" x14ac:dyDescent="0.3">
      <c r="A363" s="7">
        <v>14</v>
      </c>
      <c r="B363" s="21" t="s">
        <v>32</v>
      </c>
      <c r="C363" s="5" t="s">
        <v>510</v>
      </c>
      <c r="D363" s="509"/>
      <c r="E363" s="49" t="s">
        <v>66</v>
      </c>
      <c r="F363" s="95">
        <v>1355</v>
      </c>
      <c r="G363" s="95">
        <v>1355</v>
      </c>
      <c r="H363" s="95">
        <v>1355</v>
      </c>
      <c r="I363" s="95">
        <v>1355</v>
      </c>
      <c r="J363" s="10"/>
      <c r="K363" s="308">
        <v>39478</v>
      </c>
      <c r="L363" s="309">
        <f t="shared" si="85"/>
        <v>3.4322914028066268E-2</v>
      </c>
      <c r="M363" s="355"/>
    </row>
    <row r="364" spans="1:13" ht="26.15" hidden="1" customHeight="1" outlineLevel="1" x14ac:dyDescent="0.3">
      <c r="A364" s="524">
        <v>15</v>
      </c>
      <c r="B364" s="514" t="s">
        <v>32</v>
      </c>
      <c r="C364" s="495" t="s">
        <v>511</v>
      </c>
      <c r="D364" s="509"/>
      <c r="E364" s="49" t="s">
        <v>66</v>
      </c>
      <c r="F364" s="95">
        <v>5116</v>
      </c>
      <c r="G364" s="95">
        <v>5116</v>
      </c>
      <c r="H364" s="95">
        <v>5116</v>
      </c>
      <c r="I364" s="95">
        <v>5116</v>
      </c>
      <c r="J364" s="10"/>
      <c r="K364" s="484">
        <v>579700</v>
      </c>
      <c r="L364" s="489">
        <f>(F364+F365)/K364</f>
        <v>0.1156770743488011</v>
      </c>
      <c r="M364" s="209"/>
    </row>
    <row r="365" spans="1:13" ht="52" hidden="1" customHeight="1" outlineLevel="1" x14ac:dyDescent="0.3">
      <c r="A365" s="524"/>
      <c r="B365" s="514"/>
      <c r="C365" s="496"/>
      <c r="D365" s="509"/>
      <c r="E365" s="2" t="s">
        <v>416</v>
      </c>
      <c r="F365" s="95">
        <v>61942</v>
      </c>
      <c r="G365" s="95">
        <v>61942</v>
      </c>
      <c r="H365" s="95">
        <v>61942</v>
      </c>
      <c r="I365" s="95">
        <v>61942</v>
      </c>
      <c r="J365" s="10"/>
      <c r="K365" s="485"/>
      <c r="L365" s="490"/>
      <c r="M365" s="209"/>
    </row>
    <row r="366" spans="1:13" ht="26" hidden="1" outlineLevel="1" x14ac:dyDescent="0.3">
      <c r="A366" s="524">
        <v>16</v>
      </c>
      <c r="B366" s="514" t="s">
        <v>32</v>
      </c>
      <c r="C366" s="495" t="s">
        <v>512</v>
      </c>
      <c r="D366" s="509"/>
      <c r="E366" s="49" t="s">
        <v>66</v>
      </c>
      <c r="F366" s="95">
        <f>42851+4361</f>
        <v>47212</v>
      </c>
      <c r="G366" s="95">
        <f t="shared" ref="G366:I366" si="94">42851+4361</f>
        <v>47212</v>
      </c>
      <c r="H366" s="95">
        <f t="shared" si="94"/>
        <v>47212</v>
      </c>
      <c r="I366" s="95">
        <f t="shared" si="94"/>
        <v>47212</v>
      </c>
      <c r="J366" s="10"/>
      <c r="K366" s="484">
        <v>311800</v>
      </c>
      <c r="L366" s="489">
        <f>(F366+F367)/K366</f>
        <v>0.15141757536882616</v>
      </c>
      <c r="M366" s="211" t="s">
        <v>513</v>
      </c>
    </row>
    <row r="367" spans="1:13" ht="52" hidden="1" outlineLevel="1" x14ac:dyDescent="0.3">
      <c r="A367" s="524"/>
      <c r="B367" s="514"/>
      <c r="C367" s="496"/>
      <c r="D367" s="509"/>
      <c r="E367" s="47" t="s">
        <v>428</v>
      </c>
      <c r="F367" s="95">
        <f>4361-4361</f>
        <v>0</v>
      </c>
      <c r="G367" s="95"/>
      <c r="H367" s="95"/>
      <c r="I367" s="84"/>
      <c r="J367" s="10"/>
      <c r="K367" s="485"/>
      <c r="L367" s="490"/>
      <c r="M367" s="211" t="s">
        <v>514</v>
      </c>
    </row>
    <row r="368" spans="1:13" ht="52" hidden="1" outlineLevel="1" x14ac:dyDescent="0.3">
      <c r="A368" s="7">
        <v>17</v>
      </c>
      <c r="B368" s="21" t="s">
        <v>32</v>
      </c>
      <c r="C368" s="5" t="s">
        <v>515</v>
      </c>
      <c r="D368" s="509"/>
      <c r="E368" s="47" t="s">
        <v>428</v>
      </c>
      <c r="F368" s="95">
        <v>18198</v>
      </c>
      <c r="G368" s="95">
        <v>18198</v>
      </c>
      <c r="H368" s="95"/>
      <c r="I368" s="95"/>
      <c r="J368" s="10"/>
      <c r="K368" s="308">
        <v>18198</v>
      </c>
      <c r="L368" s="309">
        <f t="shared" ref="L368:L390" si="95">F368/K368</f>
        <v>1</v>
      </c>
      <c r="M368" s="211" t="s">
        <v>516</v>
      </c>
    </row>
    <row r="369" spans="1:13" ht="52" hidden="1" outlineLevel="1" x14ac:dyDescent="0.3">
      <c r="A369" s="7">
        <v>18</v>
      </c>
      <c r="B369" s="21" t="s">
        <v>32</v>
      </c>
      <c r="C369" s="5" t="s">
        <v>517</v>
      </c>
      <c r="D369" s="509"/>
      <c r="E369" s="49" t="s">
        <v>66</v>
      </c>
      <c r="F369" s="95">
        <v>16094</v>
      </c>
      <c r="G369" s="95">
        <v>16094</v>
      </c>
      <c r="H369" s="95">
        <v>34292</v>
      </c>
      <c r="I369" s="95">
        <v>34292</v>
      </c>
      <c r="J369" s="10"/>
      <c r="K369" s="308">
        <v>208279</v>
      </c>
      <c r="L369" s="309">
        <f t="shared" si="95"/>
        <v>7.7271352368697754E-2</v>
      </c>
      <c r="M369" s="318" t="s">
        <v>518</v>
      </c>
    </row>
    <row r="370" spans="1:13" ht="195" hidden="1" outlineLevel="1" x14ac:dyDescent="0.3">
      <c r="A370" s="7">
        <v>19</v>
      </c>
      <c r="B370" s="21" t="s">
        <v>32</v>
      </c>
      <c r="C370" s="45" t="s">
        <v>519</v>
      </c>
      <c r="D370" s="496"/>
      <c r="E370" s="2" t="s">
        <v>67</v>
      </c>
      <c r="F370" s="95">
        <v>17752</v>
      </c>
      <c r="G370" s="95">
        <v>17752</v>
      </c>
      <c r="H370" s="95">
        <v>17752</v>
      </c>
      <c r="I370" s="95">
        <v>17752</v>
      </c>
      <c r="J370" s="10"/>
      <c r="K370" s="308">
        <v>117237</v>
      </c>
      <c r="L370" s="309">
        <f t="shared" si="95"/>
        <v>0.15141977362095585</v>
      </c>
      <c r="M370" s="3" t="s">
        <v>520</v>
      </c>
    </row>
    <row r="371" spans="1:13" ht="104" hidden="1" outlineLevel="1" x14ac:dyDescent="0.3">
      <c r="A371" s="524">
        <v>20</v>
      </c>
      <c r="B371" s="514" t="s">
        <v>32</v>
      </c>
      <c r="C371" s="495" t="s">
        <v>521</v>
      </c>
      <c r="D371" s="495" t="s">
        <v>522</v>
      </c>
      <c r="E371" s="2" t="s">
        <v>170</v>
      </c>
      <c r="F371" s="95">
        <v>58901</v>
      </c>
      <c r="G371" s="95">
        <v>58901</v>
      </c>
      <c r="H371" s="95">
        <v>58901</v>
      </c>
      <c r="I371" s="95">
        <v>58901</v>
      </c>
      <c r="J371" s="10"/>
      <c r="K371" s="308">
        <v>389000</v>
      </c>
      <c r="L371" s="309">
        <f t="shared" si="95"/>
        <v>0.15141645244215937</v>
      </c>
      <c r="M371" s="509" t="s">
        <v>523</v>
      </c>
    </row>
    <row r="372" spans="1:13" ht="130" hidden="1" outlineLevel="1" x14ac:dyDescent="0.3">
      <c r="A372" s="524"/>
      <c r="B372" s="514"/>
      <c r="C372" s="496"/>
      <c r="D372" s="509"/>
      <c r="E372" s="2" t="s">
        <v>524</v>
      </c>
      <c r="F372" s="95">
        <v>1666</v>
      </c>
      <c r="G372" s="95">
        <v>1666</v>
      </c>
      <c r="H372" s="95">
        <v>1666</v>
      </c>
      <c r="I372" s="95">
        <v>1666</v>
      </c>
      <c r="J372" s="10"/>
      <c r="K372" s="308">
        <v>11000</v>
      </c>
      <c r="L372" s="309">
        <f t="shared" si="95"/>
        <v>0.15145454545454545</v>
      </c>
      <c r="M372" s="537"/>
    </row>
    <row r="373" spans="1:13" ht="104" hidden="1" outlineLevel="1" x14ac:dyDescent="0.3">
      <c r="A373" s="524">
        <v>21</v>
      </c>
      <c r="B373" s="514" t="s">
        <v>32</v>
      </c>
      <c r="C373" s="495" t="s">
        <v>525</v>
      </c>
      <c r="D373" s="509"/>
      <c r="E373" s="2" t="s">
        <v>170</v>
      </c>
      <c r="F373" s="95">
        <v>241332</v>
      </c>
      <c r="G373" s="95">
        <v>241332</v>
      </c>
      <c r="H373" s="95">
        <v>241332</v>
      </c>
      <c r="I373" s="95">
        <v>241332</v>
      </c>
      <c r="J373" s="10"/>
      <c r="K373" s="308">
        <v>1593816</v>
      </c>
      <c r="L373" s="309">
        <f t="shared" si="95"/>
        <v>0.15141772952461263</v>
      </c>
      <c r="M373" s="509" t="s">
        <v>526</v>
      </c>
    </row>
    <row r="374" spans="1:13" ht="130" hidden="1" outlineLevel="1" x14ac:dyDescent="0.3">
      <c r="A374" s="524"/>
      <c r="B374" s="514"/>
      <c r="C374" s="496"/>
      <c r="D374" s="509"/>
      <c r="E374" s="2" t="s">
        <v>524</v>
      </c>
      <c r="F374" s="95">
        <v>2551</v>
      </c>
      <c r="G374" s="95">
        <v>2551</v>
      </c>
      <c r="H374" s="95">
        <v>2551</v>
      </c>
      <c r="I374" s="95">
        <v>2551</v>
      </c>
      <c r="J374" s="10"/>
      <c r="K374" s="308">
        <v>16846</v>
      </c>
      <c r="L374" s="309">
        <f t="shared" si="95"/>
        <v>0.15143060667220706</v>
      </c>
      <c r="M374" s="537"/>
    </row>
    <row r="375" spans="1:13" ht="104" hidden="1" outlineLevel="1" x14ac:dyDescent="0.3">
      <c r="A375" s="7">
        <v>22</v>
      </c>
      <c r="B375" s="21" t="s">
        <v>32</v>
      </c>
      <c r="C375" s="5" t="s">
        <v>527</v>
      </c>
      <c r="D375" s="496"/>
      <c r="E375" s="2" t="s">
        <v>170</v>
      </c>
      <c r="F375" s="95">
        <v>68587</v>
      </c>
      <c r="G375" s="95">
        <v>68587</v>
      </c>
      <c r="H375" s="95">
        <v>68587</v>
      </c>
      <c r="I375" s="95">
        <v>68587</v>
      </c>
      <c r="J375" s="10"/>
      <c r="K375" s="308">
        <v>452966</v>
      </c>
      <c r="L375" s="309">
        <f t="shared" si="95"/>
        <v>0.15141754568775581</v>
      </c>
      <c r="M375" s="3" t="s">
        <v>528</v>
      </c>
    </row>
    <row r="376" spans="1:13" ht="52" hidden="1" outlineLevel="1" x14ac:dyDescent="0.3">
      <c r="A376" s="7">
        <v>23</v>
      </c>
      <c r="B376" s="21" t="s">
        <v>32</v>
      </c>
      <c r="C376" s="5" t="s">
        <v>529</v>
      </c>
      <c r="D376" s="495" t="s">
        <v>530</v>
      </c>
      <c r="E376" s="2" t="s">
        <v>68</v>
      </c>
      <c r="F376" s="95">
        <v>13088</v>
      </c>
      <c r="G376" s="95">
        <v>13088</v>
      </c>
      <c r="H376" s="95">
        <v>13088</v>
      </c>
      <c r="I376" s="95">
        <v>13088</v>
      </c>
      <c r="J376" s="146"/>
      <c r="K376" s="310">
        <v>114621</v>
      </c>
      <c r="L376" s="311">
        <f t="shared" si="95"/>
        <v>0.11418500972771133</v>
      </c>
      <c r="M376" s="509" t="s">
        <v>531</v>
      </c>
    </row>
    <row r="377" spans="1:13" ht="52" hidden="1" outlineLevel="1" x14ac:dyDescent="0.3">
      <c r="A377" s="7">
        <v>24</v>
      </c>
      <c r="B377" s="21" t="s">
        <v>32</v>
      </c>
      <c r="C377" s="5" t="s">
        <v>532</v>
      </c>
      <c r="D377" s="509"/>
      <c r="E377" s="2" t="s">
        <v>68</v>
      </c>
      <c r="F377" s="95">
        <v>155507</v>
      </c>
      <c r="G377" s="95">
        <v>155507</v>
      </c>
      <c r="H377" s="95">
        <v>155507</v>
      </c>
      <c r="I377" s="95">
        <v>155507</v>
      </c>
      <c r="J377" s="146"/>
      <c r="K377" s="310">
        <v>155507</v>
      </c>
      <c r="L377" s="311">
        <f t="shared" si="95"/>
        <v>1</v>
      </c>
      <c r="M377" s="538"/>
    </row>
    <row r="378" spans="1:13" ht="52" hidden="1" outlineLevel="1" x14ac:dyDescent="0.3">
      <c r="A378" s="7">
        <v>25</v>
      </c>
      <c r="B378" s="21" t="s">
        <v>32</v>
      </c>
      <c r="C378" s="5" t="s">
        <v>533</v>
      </c>
      <c r="D378" s="509"/>
      <c r="E378" s="2" t="s">
        <v>68</v>
      </c>
      <c r="F378" s="95">
        <v>200000</v>
      </c>
      <c r="G378" s="95">
        <v>200000</v>
      </c>
      <c r="H378" s="95">
        <v>200000</v>
      </c>
      <c r="I378" s="95">
        <v>200000</v>
      </c>
      <c r="J378" s="147"/>
      <c r="K378" s="308">
        <v>200000</v>
      </c>
      <c r="L378" s="309">
        <f t="shared" si="95"/>
        <v>1</v>
      </c>
      <c r="M378" s="538"/>
    </row>
    <row r="379" spans="1:13" ht="52" hidden="1" outlineLevel="1" x14ac:dyDescent="0.3">
      <c r="A379" s="7">
        <v>26</v>
      </c>
      <c r="B379" s="21" t="s">
        <v>32</v>
      </c>
      <c r="C379" s="5" t="s">
        <v>534</v>
      </c>
      <c r="D379" s="509"/>
      <c r="E379" s="2" t="s">
        <v>68</v>
      </c>
      <c r="F379" s="95">
        <v>100000</v>
      </c>
      <c r="G379" s="95">
        <v>100000</v>
      </c>
      <c r="H379" s="95">
        <v>100000</v>
      </c>
      <c r="I379" s="95">
        <v>100000</v>
      </c>
      <c r="J379" s="146"/>
      <c r="K379" s="310">
        <v>100000</v>
      </c>
      <c r="L379" s="311">
        <f t="shared" si="95"/>
        <v>1</v>
      </c>
      <c r="M379" s="538"/>
    </row>
    <row r="380" spans="1:13" ht="52" hidden="1" outlineLevel="1" x14ac:dyDescent="0.3">
      <c r="A380" s="7">
        <v>27</v>
      </c>
      <c r="B380" s="21" t="s">
        <v>32</v>
      </c>
      <c r="C380" s="5" t="s">
        <v>535</v>
      </c>
      <c r="D380" s="509"/>
      <c r="E380" s="2" t="s">
        <v>68</v>
      </c>
      <c r="F380" s="95">
        <v>200000</v>
      </c>
      <c r="G380" s="95">
        <v>200000</v>
      </c>
      <c r="H380" s="95">
        <v>200000</v>
      </c>
      <c r="I380" s="95">
        <v>200000</v>
      </c>
      <c r="J380" s="146"/>
      <c r="K380" s="310">
        <v>200000</v>
      </c>
      <c r="L380" s="311">
        <f t="shared" si="95"/>
        <v>1</v>
      </c>
      <c r="M380" s="538"/>
    </row>
    <row r="381" spans="1:13" ht="52" hidden="1" outlineLevel="1" x14ac:dyDescent="0.3">
      <c r="A381" s="7">
        <v>28</v>
      </c>
      <c r="B381" s="21" t="s">
        <v>32</v>
      </c>
      <c r="C381" s="5" t="s">
        <v>536</v>
      </c>
      <c r="D381" s="496"/>
      <c r="E381" s="2" t="s">
        <v>68</v>
      </c>
      <c r="F381" s="95">
        <v>396222</v>
      </c>
      <c r="G381" s="95">
        <v>396222</v>
      </c>
      <c r="H381" s="95">
        <v>396222</v>
      </c>
      <c r="I381" s="95">
        <v>396222</v>
      </c>
      <c r="J381" s="146"/>
      <c r="K381" s="310">
        <v>396222</v>
      </c>
      <c r="L381" s="311">
        <f t="shared" si="95"/>
        <v>1</v>
      </c>
      <c r="M381" s="537"/>
    </row>
    <row r="382" spans="1:13" ht="26" hidden="1" outlineLevel="1" x14ac:dyDescent="0.3">
      <c r="A382" s="524">
        <v>29</v>
      </c>
      <c r="B382" s="497" t="s">
        <v>32</v>
      </c>
      <c r="C382" s="495"/>
      <c r="D382" s="495" t="s">
        <v>210</v>
      </c>
      <c r="E382" s="49" t="s">
        <v>66</v>
      </c>
      <c r="F382" s="95">
        <f>188058+4511+1221+21724</f>
        <v>215514</v>
      </c>
      <c r="G382" s="95">
        <f t="shared" ref="G382:I382" si="96">188058+4511+1221+21724</f>
        <v>215514</v>
      </c>
      <c r="H382" s="95">
        <f t="shared" si="96"/>
        <v>215514</v>
      </c>
      <c r="I382" s="95">
        <f t="shared" si="96"/>
        <v>215514</v>
      </c>
      <c r="J382" s="10"/>
      <c r="K382" s="308">
        <v>1241982</v>
      </c>
      <c r="L382" s="309">
        <f t="shared" si="95"/>
        <v>0.17352425397469529</v>
      </c>
      <c r="M382" s="539" t="s">
        <v>537</v>
      </c>
    </row>
    <row r="383" spans="1:13" ht="65" hidden="1" outlineLevel="1" x14ac:dyDescent="0.3">
      <c r="A383" s="524"/>
      <c r="B383" s="498"/>
      <c r="C383" s="496"/>
      <c r="D383" s="496"/>
      <c r="E383" s="2" t="s">
        <v>499</v>
      </c>
      <c r="F383" s="95">
        <f>1094+3000-1094-3000+2873</f>
        <v>2873</v>
      </c>
      <c r="G383" s="95">
        <f t="shared" ref="G383:I383" si="97">1094+3000-1094-3000+2873</f>
        <v>2873</v>
      </c>
      <c r="H383" s="95">
        <f t="shared" si="97"/>
        <v>2873</v>
      </c>
      <c r="I383" s="95">
        <f t="shared" si="97"/>
        <v>2873</v>
      </c>
      <c r="J383" s="10"/>
      <c r="K383" s="308">
        <v>7222</v>
      </c>
      <c r="L383" s="309">
        <f t="shared" si="95"/>
        <v>0.39781224037662699</v>
      </c>
      <c r="M383" s="540"/>
    </row>
    <row r="384" spans="1:13" collapsed="1" x14ac:dyDescent="0.3">
      <c r="A384" s="457" t="s">
        <v>538</v>
      </c>
      <c r="B384" s="458"/>
      <c r="C384" s="458"/>
      <c r="D384" s="458"/>
      <c r="E384" s="459"/>
      <c r="F384" s="39">
        <f>SUM(F390:F394)</f>
        <v>1952198</v>
      </c>
      <c r="G384" s="39">
        <f>SUM(G390:G394)</f>
        <v>1952198</v>
      </c>
      <c r="H384" s="39">
        <f>SUM(H390:H394)</f>
        <v>1952198</v>
      </c>
      <c r="I384" s="39">
        <f>SUM(I390:I394)</f>
        <v>1952198</v>
      </c>
      <c r="J384" s="141"/>
      <c r="K384" s="226"/>
      <c r="L384" s="220"/>
      <c r="M384" s="163"/>
    </row>
    <row r="385" spans="1:13" x14ac:dyDescent="0.3">
      <c r="A385" s="460" t="s">
        <v>539</v>
      </c>
      <c r="B385" s="461"/>
      <c r="C385" s="461"/>
      <c r="D385" s="461"/>
      <c r="E385" s="462"/>
      <c r="F385" s="99">
        <v>13618408</v>
      </c>
      <c r="G385" s="86"/>
      <c r="H385" s="86"/>
      <c r="I385" s="86"/>
      <c r="J385" s="143"/>
      <c r="K385" s="227"/>
      <c r="L385" s="221"/>
      <c r="M385" s="144"/>
    </row>
    <row r="386" spans="1:13" x14ac:dyDescent="0.3">
      <c r="A386" s="463" t="s">
        <v>540</v>
      </c>
      <c r="B386" s="464"/>
      <c r="C386" s="464"/>
      <c r="D386" s="464"/>
      <c r="E386" s="465"/>
      <c r="F386" s="44">
        <f>F385-F384</f>
        <v>11666210</v>
      </c>
      <c r="G386" s="87"/>
      <c r="H386" s="87"/>
      <c r="I386" s="87"/>
      <c r="J386" s="143"/>
      <c r="K386" s="227"/>
      <c r="L386" s="221"/>
      <c r="M386" s="144"/>
    </row>
    <row r="387" spans="1:13" x14ac:dyDescent="0.3">
      <c r="A387" s="475" t="s">
        <v>66</v>
      </c>
      <c r="B387" s="476"/>
      <c r="C387" s="476"/>
      <c r="D387" s="476"/>
      <c r="E387" s="477"/>
      <c r="F387" s="376">
        <f>F390+F391+F393</f>
        <v>901454</v>
      </c>
      <c r="G387" s="376">
        <f t="shared" ref="G387:I387" si="98">G390+G391+G393</f>
        <v>901454</v>
      </c>
      <c r="H387" s="376">
        <f t="shared" si="98"/>
        <v>901454</v>
      </c>
      <c r="I387" s="376">
        <f t="shared" si="98"/>
        <v>901454</v>
      </c>
      <c r="J387" s="327"/>
      <c r="K387" s="368"/>
      <c r="L387" s="369"/>
      <c r="M387" s="366"/>
    </row>
    <row r="388" spans="1:13" x14ac:dyDescent="0.3">
      <c r="A388" s="475" t="s">
        <v>67</v>
      </c>
      <c r="B388" s="476"/>
      <c r="C388" s="476"/>
      <c r="D388" s="476"/>
      <c r="E388" s="477"/>
      <c r="F388" s="376">
        <f>F394</f>
        <v>881523</v>
      </c>
      <c r="G388" s="376">
        <f t="shared" ref="G388:I388" si="99">G394</f>
        <v>881523</v>
      </c>
      <c r="H388" s="376">
        <f t="shared" si="99"/>
        <v>881523</v>
      </c>
      <c r="I388" s="376">
        <f t="shared" si="99"/>
        <v>881523</v>
      </c>
      <c r="J388" s="327"/>
      <c r="K388" s="368"/>
      <c r="L388" s="369"/>
      <c r="M388" s="366"/>
    </row>
    <row r="389" spans="1:13" x14ac:dyDescent="0.3">
      <c r="A389" s="475" t="s">
        <v>70</v>
      </c>
      <c r="B389" s="476"/>
      <c r="C389" s="476"/>
      <c r="D389" s="476"/>
      <c r="E389" s="477"/>
      <c r="F389" s="376">
        <f>F392</f>
        <v>169221</v>
      </c>
      <c r="G389" s="376">
        <f t="shared" ref="G389:I389" si="100">G392</f>
        <v>169221</v>
      </c>
      <c r="H389" s="376">
        <f t="shared" si="100"/>
        <v>169221</v>
      </c>
      <c r="I389" s="376">
        <f t="shared" si="100"/>
        <v>169221</v>
      </c>
      <c r="J389" s="327"/>
      <c r="K389" s="368"/>
      <c r="L389" s="369"/>
      <c r="M389" s="366"/>
    </row>
    <row r="390" spans="1:13" ht="39" hidden="1" outlineLevel="1" x14ac:dyDescent="0.3">
      <c r="A390" s="7">
        <v>1</v>
      </c>
      <c r="B390" s="7" t="s">
        <v>33</v>
      </c>
      <c r="C390" s="5" t="s">
        <v>541</v>
      </c>
      <c r="D390" s="10" t="s">
        <v>542</v>
      </c>
      <c r="E390" s="5" t="s">
        <v>66</v>
      </c>
      <c r="F390" s="84">
        <v>34913</v>
      </c>
      <c r="G390" s="20">
        <v>34913</v>
      </c>
      <c r="H390" s="20">
        <v>34913</v>
      </c>
      <c r="I390" s="20">
        <v>34913</v>
      </c>
      <c r="J390" s="10"/>
      <c r="K390" s="308">
        <v>698231</v>
      </c>
      <c r="L390" s="309">
        <f t="shared" si="95"/>
        <v>5.0002076676629939E-2</v>
      </c>
      <c r="M390" s="211" t="s">
        <v>1011</v>
      </c>
    </row>
    <row r="391" spans="1:13" ht="26" hidden="1" outlineLevel="1" x14ac:dyDescent="0.3">
      <c r="A391" s="524">
        <v>2</v>
      </c>
      <c r="B391" s="493" t="s">
        <v>33</v>
      </c>
      <c r="C391" s="495" t="s">
        <v>543</v>
      </c>
      <c r="D391" s="541" t="s">
        <v>544</v>
      </c>
      <c r="E391" s="5" t="s">
        <v>66</v>
      </c>
      <c r="F391" s="84">
        <v>671123</v>
      </c>
      <c r="G391" s="20">
        <v>671123</v>
      </c>
      <c r="H391" s="20">
        <v>671123</v>
      </c>
      <c r="I391" s="20">
        <v>671123</v>
      </c>
      <c r="J391" s="10"/>
      <c r="K391" s="544">
        <v>7143836</v>
      </c>
      <c r="L391" s="545">
        <f>(F391+F392+F393)/K391</f>
        <v>0.14498681100741953</v>
      </c>
      <c r="M391" s="211" t="s">
        <v>1012</v>
      </c>
    </row>
    <row r="392" spans="1:13" ht="120.75" hidden="1" customHeight="1" outlineLevel="1" x14ac:dyDescent="0.3">
      <c r="A392" s="524"/>
      <c r="B392" s="494"/>
      <c r="C392" s="496"/>
      <c r="D392" s="537"/>
      <c r="E392" s="5" t="s">
        <v>545</v>
      </c>
      <c r="F392" s="84">
        <v>169221</v>
      </c>
      <c r="G392" s="20">
        <v>169221</v>
      </c>
      <c r="H392" s="20">
        <v>169221</v>
      </c>
      <c r="I392" s="20">
        <v>169221</v>
      </c>
      <c r="J392" s="10"/>
      <c r="K392" s="544"/>
      <c r="L392" s="545"/>
      <c r="M392" s="211" t="s">
        <v>1013</v>
      </c>
    </row>
    <row r="393" spans="1:13" ht="39" hidden="1" outlineLevel="1" x14ac:dyDescent="0.3">
      <c r="A393" s="7">
        <v>3</v>
      </c>
      <c r="B393" s="7" t="s">
        <v>33</v>
      </c>
      <c r="C393" s="5" t="s">
        <v>546</v>
      </c>
      <c r="D393" s="10" t="s">
        <v>544</v>
      </c>
      <c r="E393" s="5" t="s">
        <v>66</v>
      </c>
      <c r="F393" s="84">
        <f>52511+42907+100000</f>
        <v>195418</v>
      </c>
      <c r="G393" s="84">
        <f t="shared" ref="G393:I393" si="101">52511+42907+100000</f>
        <v>195418</v>
      </c>
      <c r="H393" s="84">
        <f t="shared" si="101"/>
        <v>195418</v>
      </c>
      <c r="I393" s="84">
        <f t="shared" si="101"/>
        <v>195418</v>
      </c>
      <c r="J393" s="10"/>
      <c r="K393" s="544"/>
      <c r="L393" s="545"/>
      <c r="M393" s="211" t="s">
        <v>1014</v>
      </c>
    </row>
    <row r="394" spans="1:13" ht="33" hidden="1" customHeight="1" outlineLevel="1" x14ac:dyDescent="0.3">
      <c r="A394" s="7">
        <v>4</v>
      </c>
      <c r="B394" s="7" t="s">
        <v>33</v>
      </c>
      <c r="C394" s="5" t="s">
        <v>547</v>
      </c>
      <c r="D394" s="10" t="s">
        <v>548</v>
      </c>
      <c r="E394" s="5" t="s">
        <v>67</v>
      </c>
      <c r="F394" s="20">
        <f>575523+10000+296000</f>
        <v>881523</v>
      </c>
      <c r="G394" s="20">
        <f t="shared" ref="G394:I394" si="102">575523+10000+296000</f>
        <v>881523</v>
      </c>
      <c r="H394" s="20">
        <f t="shared" si="102"/>
        <v>881523</v>
      </c>
      <c r="I394" s="20">
        <f t="shared" si="102"/>
        <v>881523</v>
      </c>
      <c r="J394" s="10"/>
      <c r="K394" s="308">
        <v>46497839</v>
      </c>
      <c r="L394" s="309">
        <f t="shared" ref="L394:L436" si="103">F394/K394</f>
        <v>1.8958364925303301E-2</v>
      </c>
      <c r="M394" s="211" t="s">
        <v>549</v>
      </c>
    </row>
    <row r="395" spans="1:13" collapsed="1" x14ac:dyDescent="0.3">
      <c r="A395" s="457" t="s">
        <v>550</v>
      </c>
      <c r="B395" s="458"/>
      <c r="C395" s="458"/>
      <c r="D395" s="458"/>
      <c r="E395" s="459"/>
      <c r="F395" s="39">
        <f>SUM(F403:F429)</f>
        <v>4596501</v>
      </c>
      <c r="G395" s="39">
        <f t="shared" ref="G395:I395" si="104">SUM(G403:G429)</f>
        <v>4596501</v>
      </c>
      <c r="H395" s="39">
        <f t="shared" si="104"/>
        <v>4596501</v>
      </c>
      <c r="I395" s="39">
        <f t="shared" si="104"/>
        <v>4596501</v>
      </c>
      <c r="J395" s="141"/>
      <c r="K395" s="226"/>
      <c r="L395" s="220"/>
      <c r="M395" s="142"/>
    </row>
    <row r="396" spans="1:13" x14ac:dyDescent="0.3">
      <c r="A396" s="460" t="s">
        <v>551</v>
      </c>
      <c r="B396" s="461"/>
      <c r="C396" s="461"/>
      <c r="D396" s="461"/>
      <c r="E396" s="462"/>
      <c r="F396" s="99">
        <v>4596501</v>
      </c>
      <c r="G396" s="86"/>
      <c r="H396" s="86"/>
      <c r="I396" s="86"/>
      <c r="J396" s="143"/>
      <c r="K396" s="227"/>
      <c r="L396" s="221"/>
      <c r="M396" s="144"/>
    </row>
    <row r="397" spans="1:13" x14ac:dyDescent="0.3">
      <c r="A397" s="463" t="s">
        <v>552</v>
      </c>
      <c r="B397" s="464"/>
      <c r="C397" s="546"/>
      <c r="D397" s="546"/>
      <c r="E397" s="465"/>
      <c r="F397" s="44">
        <f>F396-F395</f>
        <v>0</v>
      </c>
      <c r="G397" s="87"/>
      <c r="H397" s="87"/>
      <c r="I397" s="87"/>
      <c r="J397" s="143"/>
      <c r="K397" s="227"/>
      <c r="L397" s="221"/>
      <c r="M397" s="144"/>
    </row>
    <row r="398" spans="1:13" x14ac:dyDescent="0.3">
      <c r="A398" s="475" t="s">
        <v>65</v>
      </c>
      <c r="B398" s="476"/>
      <c r="C398" s="476"/>
      <c r="D398" s="476"/>
      <c r="E398" s="477"/>
      <c r="F398" s="376">
        <f>F421+F422+F423+F424+F425+F426+F427+F428</f>
        <v>1084904</v>
      </c>
      <c r="G398" s="376">
        <f t="shared" ref="G398:I398" si="105">G421+G422+G423+G424+G425+G426+G427+G428</f>
        <v>1084904</v>
      </c>
      <c r="H398" s="376">
        <f t="shared" si="105"/>
        <v>1084904</v>
      </c>
      <c r="I398" s="376">
        <f t="shared" si="105"/>
        <v>1084904</v>
      </c>
      <c r="J398" s="327"/>
      <c r="K398" s="368"/>
      <c r="L398" s="369"/>
      <c r="M398" s="366"/>
    </row>
    <row r="399" spans="1:13" x14ac:dyDescent="0.3">
      <c r="A399" s="475" t="s">
        <v>66</v>
      </c>
      <c r="B399" s="476"/>
      <c r="C399" s="476"/>
      <c r="D399" s="476"/>
      <c r="E399" s="477"/>
      <c r="F399" s="376">
        <f>F403+F405+F406+F407+F408+F409+F410+F412+F414+F415+F416+F420</f>
        <v>1711272</v>
      </c>
      <c r="G399" s="376">
        <f t="shared" ref="G399:I399" si="106">G403+G405+G406+G407+G408+G409+G410+G412+G414+G415+G416+G420</f>
        <v>1711272</v>
      </c>
      <c r="H399" s="376">
        <f t="shared" si="106"/>
        <v>1711272</v>
      </c>
      <c r="I399" s="376">
        <f t="shared" si="106"/>
        <v>1711272</v>
      </c>
      <c r="J399" s="327"/>
      <c r="K399" s="368"/>
      <c r="L399" s="369"/>
      <c r="M399" s="366"/>
    </row>
    <row r="400" spans="1:13" x14ac:dyDescent="0.3">
      <c r="A400" s="475" t="s">
        <v>67</v>
      </c>
      <c r="B400" s="476"/>
      <c r="C400" s="476"/>
      <c r="D400" s="476"/>
      <c r="E400" s="477"/>
      <c r="F400" s="376">
        <f>F413+F417+F418+F419</f>
        <v>886096</v>
      </c>
      <c r="G400" s="376">
        <f t="shared" ref="G400:I400" si="107">G413+G417+G418+G419</f>
        <v>886096</v>
      </c>
      <c r="H400" s="376">
        <f t="shared" si="107"/>
        <v>886096</v>
      </c>
      <c r="I400" s="376">
        <f t="shared" si="107"/>
        <v>886096</v>
      </c>
      <c r="J400" s="327"/>
      <c r="K400" s="368"/>
      <c r="L400" s="369"/>
      <c r="M400" s="366"/>
    </row>
    <row r="401" spans="1:13" x14ac:dyDescent="0.3">
      <c r="A401" s="475" t="s">
        <v>68</v>
      </c>
      <c r="B401" s="476"/>
      <c r="C401" s="476"/>
      <c r="D401" s="476"/>
      <c r="E401" s="477"/>
      <c r="F401" s="376">
        <f>F404+F411</f>
        <v>14229</v>
      </c>
      <c r="G401" s="376">
        <f t="shared" ref="G401:I401" si="108">G404+G411</f>
        <v>14229</v>
      </c>
      <c r="H401" s="376">
        <f t="shared" si="108"/>
        <v>14229</v>
      </c>
      <c r="I401" s="376">
        <f t="shared" si="108"/>
        <v>14229</v>
      </c>
      <c r="J401" s="327"/>
      <c r="K401" s="368"/>
      <c r="L401" s="369"/>
      <c r="M401" s="366"/>
    </row>
    <row r="402" spans="1:13" x14ac:dyDescent="0.3">
      <c r="A402" s="475" t="s">
        <v>70</v>
      </c>
      <c r="B402" s="476"/>
      <c r="C402" s="476"/>
      <c r="D402" s="476"/>
      <c r="E402" s="477"/>
      <c r="F402" s="376">
        <f>F429</f>
        <v>900000</v>
      </c>
      <c r="G402" s="376">
        <f t="shared" ref="G402:I402" si="109">G429</f>
        <v>900000</v>
      </c>
      <c r="H402" s="376">
        <f t="shared" si="109"/>
        <v>900000</v>
      </c>
      <c r="I402" s="376">
        <f t="shared" si="109"/>
        <v>900000</v>
      </c>
      <c r="J402" s="327"/>
      <c r="K402" s="368"/>
      <c r="L402" s="369"/>
      <c r="M402" s="366"/>
    </row>
    <row r="403" spans="1:13" ht="39" hidden="1" customHeight="1" outlineLevel="1" x14ac:dyDescent="0.3">
      <c r="A403" s="235">
        <v>1</v>
      </c>
      <c r="B403" s="278" t="s">
        <v>36</v>
      </c>
      <c r="C403" s="208" t="s">
        <v>553</v>
      </c>
      <c r="D403" s="208" t="s">
        <v>554</v>
      </c>
      <c r="E403" s="208" t="s">
        <v>66</v>
      </c>
      <c r="F403" s="96">
        <v>30000</v>
      </c>
      <c r="G403" s="96">
        <v>30000</v>
      </c>
      <c r="H403" s="96">
        <v>30000</v>
      </c>
      <c r="I403" s="96">
        <v>30000</v>
      </c>
      <c r="J403" s="209"/>
      <c r="K403" s="303">
        <v>426168</v>
      </c>
      <c r="L403" s="312">
        <f>F403/K403</f>
        <v>7.0394773891986256E-2</v>
      </c>
      <c r="M403" s="210" t="s">
        <v>555</v>
      </c>
    </row>
    <row r="404" spans="1:13" ht="26" hidden="1" outlineLevel="1" x14ac:dyDescent="0.3">
      <c r="A404" s="276">
        <v>2</v>
      </c>
      <c r="B404" s="281" t="s">
        <v>36</v>
      </c>
      <c r="C404" s="304" t="s">
        <v>556</v>
      </c>
      <c r="D404" s="304" t="s">
        <v>554</v>
      </c>
      <c r="E404" s="282" t="s">
        <v>557</v>
      </c>
      <c r="F404" s="96">
        <v>4229</v>
      </c>
      <c r="G404" s="96">
        <v>4229</v>
      </c>
      <c r="H404" s="96">
        <v>4229</v>
      </c>
      <c r="I404" s="96">
        <v>4229</v>
      </c>
      <c r="J404" s="209"/>
      <c r="K404" s="303">
        <v>14229</v>
      </c>
      <c r="L404" s="312">
        <f>F404/K404</f>
        <v>0.29720992339588165</v>
      </c>
      <c r="M404" s="210"/>
    </row>
    <row r="405" spans="1:13" ht="91" hidden="1" outlineLevel="1" x14ac:dyDescent="0.3">
      <c r="A405" s="7">
        <v>3</v>
      </c>
      <c r="B405" s="7" t="s">
        <v>36</v>
      </c>
      <c r="C405" s="208" t="s">
        <v>558</v>
      </c>
      <c r="D405" s="208" t="s">
        <v>559</v>
      </c>
      <c r="E405" s="208" t="s">
        <v>66</v>
      </c>
      <c r="F405" s="96">
        <v>152059</v>
      </c>
      <c r="G405" s="96">
        <v>152059</v>
      </c>
      <c r="H405" s="96">
        <v>152059</v>
      </c>
      <c r="I405" s="96">
        <v>152059</v>
      </c>
      <c r="J405" s="211" t="s">
        <v>560</v>
      </c>
      <c r="K405" s="308">
        <v>372438</v>
      </c>
      <c r="L405" s="312">
        <f t="shared" si="103"/>
        <v>0.40828003587174239</v>
      </c>
      <c r="M405" s="210" t="s">
        <v>555</v>
      </c>
    </row>
    <row r="406" spans="1:13" ht="26" hidden="1" outlineLevel="1" x14ac:dyDescent="0.3">
      <c r="A406" s="7">
        <v>4</v>
      </c>
      <c r="B406" s="7" t="s">
        <v>36</v>
      </c>
      <c r="C406" s="279" t="s">
        <v>561</v>
      </c>
      <c r="D406" s="279" t="s">
        <v>562</v>
      </c>
      <c r="E406" s="208" t="s">
        <v>66</v>
      </c>
      <c r="F406" s="96">
        <v>56700</v>
      </c>
      <c r="G406" s="96">
        <v>56700</v>
      </c>
      <c r="H406" s="96">
        <v>56700</v>
      </c>
      <c r="I406" s="96">
        <v>56700</v>
      </c>
      <c r="J406" s="211"/>
      <c r="K406" s="358">
        <v>134000</v>
      </c>
      <c r="L406" s="312">
        <f t="shared" si="103"/>
        <v>0.42313432835820897</v>
      </c>
      <c r="M406" s="210" t="s">
        <v>563</v>
      </c>
    </row>
    <row r="407" spans="1:13" ht="26" hidden="1" outlineLevel="1" x14ac:dyDescent="0.3">
      <c r="A407" s="7">
        <v>5</v>
      </c>
      <c r="B407" s="7" t="s">
        <v>36</v>
      </c>
      <c r="C407" s="283" t="s">
        <v>564</v>
      </c>
      <c r="D407" s="284" t="s">
        <v>565</v>
      </c>
      <c r="E407" s="284" t="s">
        <v>66</v>
      </c>
      <c r="F407" s="96">
        <v>3000</v>
      </c>
      <c r="G407" s="96">
        <v>3000</v>
      </c>
      <c r="H407" s="96">
        <v>3000</v>
      </c>
      <c r="I407" s="96">
        <v>3000</v>
      </c>
      <c r="J407" s="285" t="s">
        <v>133</v>
      </c>
      <c r="K407" s="358">
        <v>10000</v>
      </c>
      <c r="L407" s="312">
        <f t="shared" si="103"/>
        <v>0.3</v>
      </c>
      <c r="M407" s="208" t="s">
        <v>555</v>
      </c>
    </row>
    <row r="408" spans="1:13" ht="26" hidden="1" outlineLevel="1" x14ac:dyDescent="0.3">
      <c r="A408" s="7">
        <v>6</v>
      </c>
      <c r="B408" s="7" t="s">
        <v>36</v>
      </c>
      <c r="C408" s="286" t="s">
        <v>566</v>
      </c>
      <c r="D408" s="287" t="s">
        <v>565</v>
      </c>
      <c r="E408" s="287" t="s">
        <v>66</v>
      </c>
      <c r="F408" s="96">
        <v>55724</v>
      </c>
      <c r="G408" s="96">
        <v>55724</v>
      </c>
      <c r="H408" s="96">
        <v>55724</v>
      </c>
      <c r="I408" s="96">
        <v>55724</v>
      </c>
      <c r="J408" s="288" t="s">
        <v>133</v>
      </c>
      <c r="K408" s="358">
        <v>1058775</v>
      </c>
      <c r="L408" s="312">
        <f t="shared" si="103"/>
        <v>5.2630634459634958E-2</v>
      </c>
      <c r="M408" s="279" t="s">
        <v>555</v>
      </c>
    </row>
    <row r="409" spans="1:13" ht="26" hidden="1" outlineLevel="1" x14ac:dyDescent="0.3">
      <c r="A409" s="7">
        <v>7</v>
      </c>
      <c r="B409" s="7" t="s">
        <v>36</v>
      </c>
      <c r="C409" s="286" t="s">
        <v>567</v>
      </c>
      <c r="D409" s="287" t="s">
        <v>568</v>
      </c>
      <c r="E409" s="287" t="s">
        <v>66</v>
      </c>
      <c r="F409" s="96">
        <v>184483</v>
      </c>
      <c r="G409" s="96">
        <v>184483</v>
      </c>
      <c r="H409" s="96">
        <v>184483</v>
      </c>
      <c r="I409" s="96">
        <v>184483</v>
      </c>
      <c r="J409" s="288" t="s">
        <v>133</v>
      </c>
      <c r="K409" s="358">
        <v>580859</v>
      </c>
      <c r="L409" s="312">
        <f t="shared" si="103"/>
        <v>0.3176037558168161</v>
      </c>
      <c r="M409" s="279" t="s">
        <v>555</v>
      </c>
    </row>
    <row r="410" spans="1:13" ht="134.25" hidden="1" customHeight="1" outlineLevel="1" x14ac:dyDescent="0.3">
      <c r="A410" s="7">
        <v>8</v>
      </c>
      <c r="B410" s="7" t="s">
        <v>36</v>
      </c>
      <c r="C410" s="279" t="s">
        <v>569</v>
      </c>
      <c r="D410" s="289" t="s">
        <v>568</v>
      </c>
      <c r="E410" s="289" t="s">
        <v>66</v>
      </c>
      <c r="F410" s="96">
        <v>57606</v>
      </c>
      <c r="G410" s="96">
        <v>57606</v>
      </c>
      <c r="H410" s="96">
        <v>57606</v>
      </c>
      <c r="I410" s="96">
        <v>57606</v>
      </c>
      <c r="J410" s="287" t="s">
        <v>570</v>
      </c>
      <c r="K410" s="358">
        <v>57606</v>
      </c>
      <c r="L410" s="312">
        <f t="shared" si="103"/>
        <v>1</v>
      </c>
      <c r="M410" s="279" t="s">
        <v>555</v>
      </c>
    </row>
    <row r="411" spans="1:13" ht="26" hidden="1" outlineLevel="1" x14ac:dyDescent="0.3">
      <c r="A411" s="7">
        <v>9</v>
      </c>
      <c r="B411" s="7" t="s">
        <v>36</v>
      </c>
      <c r="C411" s="208" t="s">
        <v>571</v>
      </c>
      <c r="D411" s="282" t="s">
        <v>568</v>
      </c>
      <c r="E411" s="282" t="s">
        <v>557</v>
      </c>
      <c r="F411" s="96">
        <v>10000</v>
      </c>
      <c r="G411" s="96">
        <v>10000</v>
      </c>
      <c r="H411" s="96">
        <v>10000</v>
      </c>
      <c r="I411" s="96">
        <v>10000</v>
      </c>
      <c r="J411" s="285" t="s">
        <v>133</v>
      </c>
      <c r="K411" s="358">
        <v>25000</v>
      </c>
      <c r="L411" s="359">
        <f t="shared" si="103"/>
        <v>0.4</v>
      </c>
      <c r="M411" s="277"/>
    </row>
    <row r="412" spans="1:13" ht="26" hidden="1" outlineLevel="1" x14ac:dyDescent="0.3">
      <c r="A412" s="7">
        <v>10</v>
      </c>
      <c r="B412" s="7" t="s">
        <v>36</v>
      </c>
      <c r="C412" s="279" t="s">
        <v>572</v>
      </c>
      <c r="D412" s="289" t="s">
        <v>210</v>
      </c>
      <c r="E412" s="289" t="s">
        <v>66</v>
      </c>
      <c r="F412" s="96">
        <v>147000</v>
      </c>
      <c r="G412" s="96">
        <v>147000</v>
      </c>
      <c r="H412" s="96">
        <v>147000</v>
      </c>
      <c r="I412" s="96">
        <v>147000</v>
      </c>
      <c r="J412" s="288" t="s">
        <v>133</v>
      </c>
      <c r="K412" s="358">
        <v>1000236</v>
      </c>
      <c r="L412" s="345">
        <f t="shared" si="103"/>
        <v>0.14696531618538025</v>
      </c>
      <c r="M412" s="280" t="s">
        <v>555</v>
      </c>
    </row>
    <row r="413" spans="1:13" ht="157.5" hidden="1" customHeight="1" outlineLevel="1" x14ac:dyDescent="0.3">
      <c r="A413" s="7">
        <v>11</v>
      </c>
      <c r="B413" s="7" t="s">
        <v>36</v>
      </c>
      <c r="C413" s="279" t="s">
        <v>573</v>
      </c>
      <c r="D413" s="289" t="s">
        <v>574</v>
      </c>
      <c r="E413" s="289" t="s">
        <v>67</v>
      </c>
      <c r="F413" s="96">
        <v>393355</v>
      </c>
      <c r="G413" s="96">
        <v>393355</v>
      </c>
      <c r="H413" s="96">
        <v>393355</v>
      </c>
      <c r="I413" s="96">
        <v>393355</v>
      </c>
      <c r="J413" s="287" t="s">
        <v>575</v>
      </c>
      <c r="K413" s="358">
        <v>593355</v>
      </c>
      <c r="L413" s="360">
        <f t="shared" si="103"/>
        <v>0.66293365691702266</v>
      </c>
      <c r="M413" s="293"/>
    </row>
    <row r="414" spans="1:13" ht="39" hidden="1" outlineLevel="1" x14ac:dyDescent="0.3">
      <c r="A414" s="7">
        <v>12</v>
      </c>
      <c r="B414" s="7" t="s">
        <v>36</v>
      </c>
      <c r="C414" s="279" t="s">
        <v>576</v>
      </c>
      <c r="D414" s="287" t="s">
        <v>577</v>
      </c>
      <c r="E414" s="289" t="s">
        <v>66</v>
      </c>
      <c r="F414" s="96">
        <v>48355</v>
      </c>
      <c r="G414" s="96">
        <v>48355</v>
      </c>
      <c r="H414" s="96">
        <v>48355</v>
      </c>
      <c r="I414" s="96">
        <v>48355</v>
      </c>
      <c r="J414" s="288" t="s">
        <v>133</v>
      </c>
      <c r="K414" s="358">
        <v>2271461</v>
      </c>
      <c r="L414" s="360">
        <f t="shared" si="103"/>
        <v>2.1288060855986522E-2</v>
      </c>
      <c r="M414" s="280" t="s">
        <v>555</v>
      </c>
    </row>
    <row r="415" spans="1:13" ht="135" hidden="1" customHeight="1" outlineLevel="1" x14ac:dyDescent="0.3">
      <c r="A415" s="7">
        <v>13</v>
      </c>
      <c r="B415" s="7" t="s">
        <v>36</v>
      </c>
      <c r="C415" s="208" t="s">
        <v>578</v>
      </c>
      <c r="D415" s="282" t="s">
        <v>577</v>
      </c>
      <c r="E415" s="282" t="s">
        <v>66</v>
      </c>
      <c r="F415" s="96">
        <v>50000</v>
      </c>
      <c r="G415" s="96">
        <v>50000</v>
      </c>
      <c r="H415" s="96">
        <v>50000</v>
      </c>
      <c r="I415" s="96">
        <v>50000</v>
      </c>
      <c r="J415" s="284" t="s">
        <v>579</v>
      </c>
      <c r="K415" s="358">
        <v>383328</v>
      </c>
      <c r="L415" s="345">
        <f t="shared" si="103"/>
        <v>0.13043659737874613</v>
      </c>
      <c r="M415" s="208" t="s">
        <v>580</v>
      </c>
    </row>
    <row r="416" spans="1:13" ht="39" hidden="1" outlineLevel="1" x14ac:dyDescent="0.3">
      <c r="A416" s="7">
        <v>14</v>
      </c>
      <c r="B416" s="235" t="s">
        <v>36</v>
      </c>
      <c r="C416" s="211" t="s">
        <v>581</v>
      </c>
      <c r="D416" s="284" t="s">
        <v>577</v>
      </c>
      <c r="E416" s="282" t="s">
        <v>66</v>
      </c>
      <c r="F416" s="96">
        <v>30000</v>
      </c>
      <c r="G416" s="96">
        <v>30000</v>
      </c>
      <c r="H416" s="96">
        <v>30000</v>
      </c>
      <c r="I416" s="96">
        <v>30000</v>
      </c>
      <c r="J416" s="284" t="s">
        <v>133</v>
      </c>
      <c r="K416" s="358">
        <v>140000</v>
      </c>
      <c r="L416" s="345">
        <f t="shared" si="103"/>
        <v>0.21428571428571427</v>
      </c>
      <c r="M416" s="279" t="s">
        <v>582</v>
      </c>
    </row>
    <row r="417" spans="1:13" ht="166.5" hidden="1" customHeight="1" outlineLevel="1" x14ac:dyDescent="0.3">
      <c r="A417" s="37">
        <v>15</v>
      </c>
      <c r="B417" s="260" t="s">
        <v>36</v>
      </c>
      <c r="C417" s="291" t="s">
        <v>583</v>
      </c>
      <c r="D417" s="503" t="s">
        <v>577</v>
      </c>
      <c r="E417" s="289" t="s">
        <v>67</v>
      </c>
      <c r="F417" s="96">
        <v>94902</v>
      </c>
      <c r="G417" s="96">
        <v>94902</v>
      </c>
      <c r="H417" s="96">
        <v>94902</v>
      </c>
      <c r="I417" s="96">
        <v>94902</v>
      </c>
      <c r="J417" s="290" t="s">
        <v>133</v>
      </c>
      <c r="K417" s="358">
        <v>94902</v>
      </c>
      <c r="L417" s="312">
        <f t="shared" si="103"/>
        <v>1</v>
      </c>
      <c r="M417" s="542" t="s">
        <v>584</v>
      </c>
    </row>
    <row r="418" spans="1:13" ht="52" hidden="1" customHeight="1" outlineLevel="1" x14ac:dyDescent="0.3">
      <c r="A418" s="37">
        <v>16</v>
      </c>
      <c r="B418" s="260" t="s">
        <v>36</v>
      </c>
      <c r="C418" s="291" t="s">
        <v>585</v>
      </c>
      <c r="D418" s="507"/>
      <c r="E418" s="289" t="s">
        <v>67</v>
      </c>
      <c r="F418" s="96">
        <v>343659</v>
      </c>
      <c r="G418" s="96">
        <v>343659</v>
      </c>
      <c r="H418" s="96">
        <v>343659</v>
      </c>
      <c r="I418" s="96">
        <v>343659</v>
      </c>
      <c r="J418" s="290" t="s">
        <v>133</v>
      </c>
      <c r="K418" s="358">
        <v>343659</v>
      </c>
      <c r="L418" s="312">
        <f t="shared" si="103"/>
        <v>1</v>
      </c>
      <c r="M418" s="543"/>
    </row>
    <row r="419" spans="1:13" ht="117" hidden="1" customHeight="1" outlineLevel="1" x14ac:dyDescent="0.3">
      <c r="A419" s="37">
        <v>17</v>
      </c>
      <c r="B419" s="260" t="s">
        <v>36</v>
      </c>
      <c r="C419" s="291" t="s">
        <v>586</v>
      </c>
      <c r="D419" s="507"/>
      <c r="E419" s="289" t="s">
        <v>67</v>
      </c>
      <c r="F419" s="96">
        <v>54180</v>
      </c>
      <c r="G419" s="96">
        <v>54180</v>
      </c>
      <c r="H419" s="96">
        <v>54180</v>
      </c>
      <c r="I419" s="96">
        <v>54180</v>
      </c>
      <c r="J419" s="287" t="s">
        <v>587</v>
      </c>
      <c r="K419" s="358">
        <v>54180</v>
      </c>
      <c r="L419" s="312">
        <f t="shared" si="103"/>
        <v>1</v>
      </c>
      <c r="M419" s="543"/>
    </row>
    <row r="420" spans="1:13" ht="104" hidden="1" outlineLevel="1" x14ac:dyDescent="0.3">
      <c r="A420" s="37">
        <v>18</v>
      </c>
      <c r="B420" s="260" t="s">
        <v>36</v>
      </c>
      <c r="C420" s="291" t="s">
        <v>588</v>
      </c>
      <c r="D420" s="504"/>
      <c r="E420" s="289" t="s">
        <v>66</v>
      </c>
      <c r="F420" s="96">
        <v>896345</v>
      </c>
      <c r="G420" s="96">
        <v>896345</v>
      </c>
      <c r="H420" s="96">
        <v>896345</v>
      </c>
      <c r="I420" s="96">
        <v>896345</v>
      </c>
      <c r="J420" s="287" t="s">
        <v>589</v>
      </c>
      <c r="K420" s="358">
        <v>6983262</v>
      </c>
      <c r="L420" s="312">
        <f t="shared" si="103"/>
        <v>0.12835620373401427</v>
      </c>
      <c r="M420" s="543"/>
    </row>
    <row r="421" spans="1:13" ht="49.5" hidden="1" customHeight="1" outlineLevel="1" x14ac:dyDescent="0.3">
      <c r="A421" s="547">
        <v>19</v>
      </c>
      <c r="B421" s="550" t="s">
        <v>36</v>
      </c>
      <c r="C421" s="532" t="s">
        <v>590</v>
      </c>
      <c r="D421" s="282" t="s">
        <v>554</v>
      </c>
      <c r="E421" s="306" t="s">
        <v>65</v>
      </c>
      <c r="F421" s="96">
        <v>44758</v>
      </c>
      <c r="G421" s="96">
        <v>44758</v>
      </c>
      <c r="H421" s="96">
        <v>44758</v>
      </c>
      <c r="I421" s="96">
        <v>44758</v>
      </c>
      <c r="J421" s="285" t="s">
        <v>133</v>
      </c>
      <c r="K421" s="96">
        <v>1267092</v>
      </c>
      <c r="L421" s="361">
        <f>F421/K421</f>
        <v>3.5323401931351472E-2</v>
      </c>
      <c r="M421" s="553"/>
    </row>
    <row r="422" spans="1:13" ht="26.15" hidden="1" customHeight="1" outlineLevel="1" x14ac:dyDescent="0.3">
      <c r="A422" s="548"/>
      <c r="B422" s="551"/>
      <c r="C422" s="534"/>
      <c r="D422" s="289" t="s">
        <v>591</v>
      </c>
      <c r="E422" s="306" t="s">
        <v>65</v>
      </c>
      <c r="F422" s="96">
        <v>82218</v>
      </c>
      <c r="G422" s="96">
        <v>82218</v>
      </c>
      <c r="H422" s="96">
        <v>82218</v>
      </c>
      <c r="I422" s="96">
        <v>82218</v>
      </c>
      <c r="J422" s="288" t="s">
        <v>133</v>
      </c>
      <c r="K422" s="96">
        <v>4805480</v>
      </c>
      <c r="L422" s="361">
        <f t="shared" si="103"/>
        <v>1.7109216977284267E-2</v>
      </c>
      <c r="M422" s="554"/>
    </row>
    <row r="423" spans="1:13" ht="40.5" hidden="1" customHeight="1" outlineLevel="1" x14ac:dyDescent="0.3">
      <c r="A423" s="548"/>
      <c r="B423" s="551"/>
      <c r="C423" s="534"/>
      <c r="D423" s="289" t="s">
        <v>559</v>
      </c>
      <c r="E423" s="306" t="s">
        <v>65</v>
      </c>
      <c r="F423" s="96">
        <v>65310</v>
      </c>
      <c r="G423" s="96">
        <v>65310</v>
      </c>
      <c r="H423" s="96">
        <v>65310</v>
      </c>
      <c r="I423" s="96">
        <v>65310</v>
      </c>
      <c r="J423" s="288" t="s">
        <v>133</v>
      </c>
      <c r="K423" s="96">
        <v>4864237</v>
      </c>
      <c r="L423" s="361">
        <f t="shared" si="103"/>
        <v>1.3426566180883046E-2</v>
      </c>
      <c r="M423" s="554"/>
    </row>
    <row r="424" spans="1:13" ht="42.75" hidden="1" customHeight="1" outlineLevel="1" x14ac:dyDescent="0.3">
      <c r="A424" s="548"/>
      <c r="B424" s="551"/>
      <c r="C424" s="534"/>
      <c r="D424" s="289" t="s">
        <v>562</v>
      </c>
      <c r="E424" s="306" t="s">
        <v>65</v>
      </c>
      <c r="F424" s="96">
        <v>8250</v>
      </c>
      <c r="G424" s="96">
        <v>8250</v>
      </c>
      <c r="H424" s="96">
        <v>8250</v>
      </c>
      <c r="I424" s="96">
        <v>8250</v>
      </c>
      <c r="J424" s="288" t="s">
        <v>133</v>
      </c>
      <c r="K424" s="96">
        <v>400894</v>
      </c>
      <c r="L424" s="361">
        <f t="shared" si="103"/>
        <v>2.0579005921764856E-2</v>
      </c>
      <c r="M424" s="554"/>
    </row>
    <row r="425" spans="1:13" ht="39" hidden="1" customHeight="1" outlineLevel="1" x14ac:dyDescent="0.3">
      <c r="A425" s="548"/>
      <c r="B425" s="551"/>
      <c r="C425" s="534"/>
      <c r="D425" s="289" t="s">
        <v>577</v>
      </c>
      <c r="E425" s="306" t="s">
        <v>65</v>
      </c>
      <c r="F425" s="96">
        <v>180000</v>
      </c>
      <c r="G425" s="96">
        <v>180000</v>
      </c>
      <c r="H425" s="96">
        <v>180000</v>
      </c>
      <c r="I425" s="96">
        <v>180000</v>
      </c>
      <c r="J425" s="288" t="s">
        <v>133</v>
      </c>
      <c r="K425" s="96">
        <v>6694564</v>
      </c>
      <c r="L425" s="361">
        <f t="shared" si="103"/>
        <v>2.6887486623475405E-2</v>
      </c>
      <c r="M425" s="554"/>
    </row>
    <row r="426" spans="1:13" ht="36.75" hidden="1" customHeight="1" outlineLevel="1" x14ac:dyDescent="0.3">
      <c r="A426" s="548"/>
      <c r="B426" s="551"/>
      <c r="C426" s="534"/>
      <c r="D426" s="289" t="s">
        <v>565</v>
      </c>
      <c r="E426" s="306" t="s">
        <v>65</v>
      </c>
      <c r="F426" s="96">
        <v>295264</v>
      </c>
      <c r="G426" s="96">
        <v>295264</v>
      </c>
      <c r="H426" s="96">
        <v>295264</v>
      </c>
      <c r="I426" s="96">
        <v>295264</v>
      </c>
      <c r="J426" s="288" t="s">
        <v>133</v>
      </c>
      <c r="K426" s="96">
        <v>5490528</v>
      </c>
      <c r="L426" s="362">
        <f t="shared" si="103"/>
        <v>5.3776977369025349E-2</v>
      </c>
      <c r="M426" s="554"/>
    </row>
    <row r="427" spans="1:13" ht="26.15" hidden="1" customHeight="1" outlineLevel="1" x14ac:dyDescent="0.3">
      <c r="A427" s="548"/>
      <c r="B427" s="551"/>
      <c r="C427" s="534"/>
      <c r="D427" s="289" t="s">
        <v>568</v>
      </c>
      <c r="E427" s="306" t="s">
        <v>65</v>
      </c>
      <c r="F427" s="96">
        <v>61895</v>
      </c>
      <c r="G427" s="96">
        <v>61895</v>
      </c>
      <c r="H427" s="96">
        <v>61895</v>
      </c>
      <c r="I427" s="96">
        <v>61895</v>
      </c>
      <c r="J427" s="288" t="s">
        <v>133</v>
      </c>
      <c r="K427" s="96">
        <v>3761369</v>
      </c>
      <c r="L427" s="361">
        <f t="shared" si="103"/>
        <v>1.6455444812779604E-2</v>
      </c>
      <c r="M427" s="554"/>
    </row>
    <row r="428" spans="1:13" ht="26.15" hidden="1" customHeight="1" outlineLevel="1" x14ac:dyDescent="0.3">
      <c r="A428" s="549"/>
      <c r="B428" s="552"/>
      <c r="C428" s="533"/>
      <c r="D428" s="289" t="s">
        <v>210</v>
      </c>
      <c r="E428" s="306" t="s">
        <v>65</v>
      </c>
      <c r="F428" s="96">
        <v>347209</v>
      </c>
      <c r="G428" s="96">
        <v>347209</v>
      </c>
      <c r="H428" s="96">
        <v>347209</v>
      </c>
      <c r="I428" s="96">
        <v>347209</v>
      </c>
      <c r="J428" s="288" t="s">
        <v>133</v>
      </c>
      <c r="K428" s="96">
        <v>5767778</v>
      </c>
      <c r="L428" s="361">
        <f t="shared" si="103"/>
        <v>6.0198052005469002E-2</v>
      </c>
      <c r="M428" s="555"/>
    </row>
    <row r="429" spans="1:13" ht="104" hidden="1" outlineLevel="1" x14ac:dyDescent="0.3">
      <c r="A429" s="7">
        <v>20</v>
      </c>
      <c r="B429" s="7" t="s">
        <v>36</v>
      </c>
      <c r="C429" s="211" t="s">
        <v>592</v>
      </c>
      <c r="D429" s="292" t="s">
        <v>593</v>
      </c>
      <c r="E429" s="284" t="s">
        <v>170</v>
      </c>
      <c r="F429" s="96">
        <v>900000</v>
      </c>
      <c r="G429" s="96">
        <v>900000</v>
      </c>
      <c r="H429" s="96">
        <v>900000</v>
      </c>
      <c r="I429" s="96">
        <v>900000</v>
      </c>
      <c r="J429" s="209"/>
      <c r="K429" s="308">
        <v>25428532</v>
      </c>
      <c r="L429" s="361">
        <f t="shared" si="103"/>
        <v>3.5393313306485798E-2</v>
      </c>
      <c r="M429" s="294"/>
    </row>
    <row r="430" spans="1:13" collapsed="1" x14ac:dyDescent="0.3">
      <c r="A430" s="457" t="s">
        <v>594</v>
      </c>
      <c r="B430" s="458"/>
      <c r="C430" s="458"/>
      <c r="D430" s="458"/>
      <c r="E430" s="459"/>
      <c r="F430" s="39">
        <f>SUM(F434:F436)</f>
        <v>7642495</v>
      </c>
      <c r="G430" s="39">
        <f t="shared" ref="G430:I430" si="110">SUM(G434:G436)</f>
        <v>7642495</v>
      </c>
      <c r="H430" s="39">
        <f t="shared" si="110"/>
        <v>7642495</v>
      </c>
      <c r="I430" s="39">
        <f t="shared" si="110"/>
        <v>7642495</v>
      </c>
      <c r="J430" s="141"/>
      <c r="K430" s="341"/>
      <c r="L430" s="342"/>
      <c r="M430" s="142"/>
    </row>
    <row r="431" spans="1:13" x14ac:dyDescent="0.3">
      <c r="A431" s="460" t="s">
        <v>90</v>
      </c>
      <c r="B431" s="461"/>
      <c r="C431" s="461"/>
      <c r="D431" s="461"/>
      <c r="E431" s="462"/>
      <c r="F431" s="99">
        <v>7642495.0595327485</v>
      </c>
      <c r="G431" s="86"/>
      <c r="H431" s="86"/>
      <c r="I431" s="86"/>
      <c r="J431" s="143"/>
      <c r="K431" s="343"/>
      <c r="L431" s="344"/>
      <c r="M431" s="144"/>
    </row>
    <row r="432" spans="1:13" x14ac:dyDescent="0.3">
      <c r="A432" s="463" t="s">
        <v>91</v>
      </c>
      <c r="B432" s="464"/>
      <c r="C432" s="464"/>
      <c r="D432" s="464"/>
      <c r="E432" s="465"/>
      <c r="F432" s="44">
        <f>F431-F430</f>
        <v>5.9532748535275459E-2</v>
      </c>
      <c r="G432" s="87"/>
      <c r="H432" s="87"/>
      <c r="I432" s="87"/>
      <c r="J432" s="143"/>
      <c r="K432" s="343"/>
      <c r="L432" s="344"/>
      <c r="M432" s="144"/>
    </row>
    <row r="433" spans="1:13" x14ac:dyDescent="0.3">
      <c r="A433" s="475" t="s">
        <v>67</v>
      </c>
      <c r="B433" s="476"/>
      <c r="C433" s="476"/>
      <c r="D433" s="476"/>
      <c r="E433" s="477"/>
      <c r="F433" s="376">
        <f>F434+F435+F436</f>
        <v>7642495</v>
      </c>
      <c r="G433" s="376">
        <f t="shared" ref="G433:I433" si="111">G434+G435+G436</f>
        <v>7642495</v>
      </c>
      <c r="H433" s="376">
        <f t="shared" si="111"/>
        <v>7642495</v>
      </c>
      <c r="I433" s="376">
        <f t="shared" si="111"/>
        <v>7642495</v>
      </c>
      <c r="J433" s="327"/>
      <c r="K433" s="372"/>
      <c r="L433" s="373"/>
      <c r="M433" s="366"/>
    </row>
    <row r="434" spans="1:13" ht="26" hidden="1" outlineLevel="1" x14ac:dyDescent="0.3">
      <c r="A434" s="7">
        <v>1</v>
      </c>
      <c r="B434" s="7" t="s">
        <v>595</v>
      </c>
      <c r="C434" s="50" t="s">
        <v>596</v>
      </c>
      <c r="D434" s="10" t="s">
        <v>597</v>
      </c>
      <c r="E434" s="5" t="s">
        <v>67</v>
      </c>
      <c r="F434" s="20">
        <f>351816+64</f>
        <v>351880</v>
      </c>
      <c r="G434" s="20">
        <f t="shared" ref="G434:I434" si="112">351816+64</f>
        <v>351880</v>
      </c>
      <c r="H434" s="20">
        <f t="shared" si="112"/>
        <v>351880</v>
      </c>
      <c r="I434" s="20">
        <f t="shared" si="112"/>
        <v>351880</v>
      </c>
      <c r="J434" s="10"/>
      <c r="K434" s="308">
        <v>4150551</v>
      </c>
      <c r="L434" s="309">
        <f t="shared" si="103"/>
        <v>8.4779105232052329E-2</v>
      </c>
      <c r="M434" s="5"/>
    </row>
    <row r="435" spans="1:13" ht="26" hidden="1" outlineLevel="1" x14ac:dyDescent="0.3">
      <c r="A435" s="7">
        <v>2</v>
      </c>
      <c r="B435" s="7" t="s">
        <v>595</v>
      </c>
      <c r="C435" s="5" t="s">
        <v>598</v>
      </c>
      <c r="D435" s="5" t="s">
        <v>599</v>
      </c>
      <c r="E435" s="5" t="s">
        <v>67</v>
      </c>
      <c r="F435" s="20">
        <v>6642417</v>
      </c>
      <c r="G435" s="20">
        <f>6642417+648198</f>
        <v>7290615</v>
      </c>
      <c r="H435" s="20">
        <f t="shared" ref="H435:I435" si="113">6642417+648198</f>
        <v>7290615</v>
      </c>
      <c r="I435" s="20">
        <f t="shared" si="113"/>
        <v>7290615</v>
      </c>
      <c r="J435" s="10"/>
      <c r="K435" s="308">
        <v>76948256</v>
      </c>
      <c r="L435" s="309">
        <f t="shared" si="103"/>
        <v>8.6323165011043271E-2</v>
      </c>
      <c r="M435" s="5"/>
    </row>
    <row r="436" spans="1:13" ht="39" hidden="1" outlineLevel="1" x14ac:dyDescent="0.3">
      <c r="A436" s="235">
        <v>3</v>
      </c>
      <c r="B436" s="235" t="s">
        <v>595</v>
      </c>
      <c r="C436" s="45" t="s">
        <v>600</v>
      </c>
      <c r="D436" s="45" t="s">
        <v>601</v>
      </c>
      <c r="E436" s="45" t="s">
        <v>67</v>
      </c>
      <c r="F436" s="129">
        <v>648198</v>
      </c>
      <c r="G436" s="129"/>
      <c r="H436" s="129"/>
      <c r="I436" s="129"/>
      <c r="J436" s="104"/>
      <c r="K436" s="330">
        <v>7500000</v>
      </c>
      <c r="L436" s="331">
        <f t="shared" si="103"/>
        <v>8.64264E-2</v>
      </c>
      <c r="M436" s="45"/>
    </row>
    <row r="437" spans="1:13" ht="13" customHeight="1" collapsed="1" x14ac:dyDescent="0.3">
      <c r="A437" s="457"/>
      <c r="B437" s="458"/>
      <c r="C437" s="458"/>
      <c r="D437" s="458"/>
      <c r="E437" s="459"/>
      <c r="F437" s="39"/>
      <c r="G437" s="39"/>
      <c r="H437" s="39"/>
      <c r="I437" s="39"/>
      <c r="J437" s="141"/>
      <c r="K437" s="226"/>
      <c r="L437" s="220"/>
      <c r="M437" s="142"/>
    </row>
    <row r="438" spans="1:13" x14ac:dyDescent="0.3">
      <c r="A438" s="255"/>
      <c r="B438" s="255"/>
      <c r="C438" s="261"/>
      <c r="D438" s="260"/>
      <c r="E438" s="260"/>
      <c r="F438" s="260"/>
      <c r="G438" s="260"/>
      <c r="H438" s="260"/>
      <c r="I438" s="260"/>
      <c r="J438" s="260"/>
      <c r="K438" s="260"/>
      <c r="L438" s="260"/>
      <c r="M438" s="260"/>
    </row>
    <row r="439" spans="1:13" x14ac:dyDescent="0.3">
      <c r="A439" s="255"/>
      <c r="B439" s="255"/>
      <c r="C439" s="256"/>
      <c r="D439" s="256"/>
      <c r="E439" s="256"/>
      <c r="F439" s="257"/>
      <c r="G439" s="257"/>
      <c r="H439" s="257"/>
      <c r="I439" s="257"/>
      <c r="J439" s="258"/>
      <c r="K439" s="259"/>
      <c r="L439" s="255"/>
      <c r="M439" s="258"/>
    </row>
    <row r="440" spans="1:13" x14ac:dyDescent="0.3">
      <c r="A440" s="255"/>
      <c r="B440" s="255"/>
      <c r="C440" s="256"/>
      <c r="D440" s="256"/>
      <c r="E440" s="256"/>
      <c r="F440" s="257"/>
      <c r="G440" s="257"/>
      <c r="H440" s="257"/>
      <c r="I440" s="257"/>
      <c r="J440" s="258"/>
      <c r="K440" s="259"/>
      <c r="L440" s="255"/>
      <c r="M440" s="258"/>
    </row>
    <row r="441" spans="1:13" x14ac:dyDescent="0.3">
      <c r="F441" s="101"/>
      <c r="G441" s="101"/>
      <c r="H441" s="101"/>
      <c r="I441" s="101"/>
    </row>
    <row r="442" spans="1:13" x14ac:dyDescent="0.3">
      <c r="F442" s="101"/>
      <c r="G442" s="101"/>
      <c r="H442" s="101"/>
      <c r="I442" s="101"/>
    </row>
    <row r="443" spans="1:13" x14ac:dyDescent="0.3">
      <c r="F443" s="101"/>
      <c r="G443" s="101"/>
      <c r="H443" s="101"/>
      <c r="I443" s="101"/>
    </row>
    <row r="444" spans="1:13" x14ac:dyDescent="0.3">
      <c r="F444" s="101"/>
      <c r="G444" s="101"/>
      <c r="H444" s="101"/>
      <c r="I444" s="101"/>
    </row>
    <row r="445" spans="1:13" x14ac:dyDescent="0.3">
      <c r="F445" s="101"/>
      <c r="G445" s="101"/>
      <c r="H445" s="101"/>
      <c r="I445" s="101"/>
    </row>
    <row r="446" spans="1:13" x14ac:dyDescent="0.3">
      <c r="F446" s="101"/>
      <c r="G446" s="101"/>
      <c r="H446" s="101"/>
      <c r="I446" s="101"/>
    </row>
    <row r="447" spans="1:13" x14ac:dyDescent="0.3">
      <c r="F447" s="101"/>
      <c r="G447" s="101"/>
      <c r="H447" s="101"/>
      <c r="I447" s="101"/>
    </row>
    <row r="448" spans="1:13" x14ac:dyDescent="0.3">
      <c r="F448" s="101"/>
      <c r="G448" s="101"/>
      <c r="H448" s="101"/>
      <c r="I448" s="101"/>
    </row>
    <row r="449" spans="6:9" x14ac:dyDescent="0.3">
      <c r="F449" s="101"/>
      <c r="G449" s="101"/>
      <c r="H449" s="101"/>
      <c r="I449" s="101"/>
    </row>
    <row r="450" spans="6:9" x14ac:dyDescent="0.3">
      <c r="F450" s="101"/>
      <c r="G450" s="101"/>
      <c r="H450" s="101"/>
      <c r="I450" s="101"/>
    </row>
    <row r="451" spans="6:9" x14ac:dyDescent="0.3">
      <c r="F451" s="101"/>
      <c r="G451" s="101"/>
      <c r="H451" s="101"/>
      <c r="I451" s="101"/>
    </row>
    <row r="452" spans="6:9" x14ac:dyDescent="0.3">
      <c r="F452" s="101"/>
      <c r="G452" s="101"/>
      <c r="H452" s="101"/>
      <c r="I452" s="101"/>
    </row>
    <row r="453" spans="6:9" x14ac:dyDescent="0.3">
      <c r="F453" s="101"/>
      <c r="G453" s="101"/>
      <c r="H453" s="101"/>
      <c r="I453" s="101"/>
    </row>
    <row r="454" spans="6:9" x14ac:dyDescent="0.3">
      <c r="F454" s="101"/>
      <c r="G454" s="101"/>
      <c r="H454" s="101"/>
      <c r="I454" s="101"/>
    </row>
    <row r="455" spans="6:9" x14ac:dyDescent="0.3">
      <c r="F455" s="101"/>
      <c r="G455" s="101"/>
      <c r="H455" s="101"/>
      <c r="I455" s="101"/>
    </row>
    <row r="456" spans="6:9" x14ac:dyDescent="0.3">
      <c r="F456" s="101"/>
      <c r="G456" s="101"/>
      <c r="H456" s="101"/>
      <c r="I456" s="101"/>
    </row>
    <row r="457" spans="6:9" x14ac:dyDescent="0.3">
      <c r="F457" s="101"/>
      <c r="G457" s="101"/>
      <c r="H457" s="101"/>
      <c r="I457" s="101"/>
    </row>
    <row r="458" spans="6:9" x14ac:dyDescent="0.3">
      <c r="F458" s="101"/>
      <c r="G458" s="101"/>
      <c r="H458" s="101"/>
      <c r="I458" s="101"/>
    </row>
    <row r="459" spans="6:9" x14ac:dyDescent="0.3">
      <c r="F459" s="101"/>
      <c r="G459" s="101"/>
      <c r="H459" s="101"/>
      <c r="I459" s="101"/>
    </row>
    <row r="460" spans="6:9" x14ac:dyDescent="0.3">
      <c r="F460" s="101"/>
      <c r="G460" s="101"/>
      <c r="H460" s="101"/>
      <c r="I460" s="101"/>
    </row>
    <row r="461" spans="6:9" x14ac:dyDescent="0.3">
      <c r="F461" s="101"/>
      <c r="G461" s="101"/>
      <c r="H461" s="101"/>
      <c r="I461" s="101"/>
    </row>
    <row r="462" spans="6:9" x14ac:dyDescent="0.3">
      <c r="F462" s="101"/>
      <c r="G462" s="101"/>
      <c r="H462" s="101"/>
      <c r="I462" s="101"/>
    </row>
    <row r="463" spans="6:9" x14ac:dyDescent="0.3">
      <c r="F463" s="101"/>
      <c r="G463" s="101"/>
      <c r="H463" s="101"/>
      <c r="I463" s="101"/>
    </row>
    <row r="464" spans="6:9" x14ac:dyDescent="0.3">
      <c r="F464" s="101"/>
      <c r="G464" s="101"/>
      <c r="H464" s="101"/>
      <c r="I464" s="101"/>
    </row>
    <row r="465" spans="6:9" x14ac:dyDescent="0.3">
      <c r="F465" s="101"/>
      <c r="G465" s="101"/>
      <c r="H465" s="101"/>
      <c r="I465" s="101"/>
    </row>
    <row r="466" spans="6:9" x14ac:dyDescent="0.3">
      <c r="F466" s="101"/>
      <c r="G466" s="101"/>
      <c r="H466" s="101"/>
      <c r="I466" s="101"/>
    </row>
    <row r="467" spans="6:9" x14ac:dyDescent="0.3">
      <c r="F467" s="101"/>
      <c r="G467" s="101"/>
      <c r="H467" s="101"/>
      <c r="I467" s="101"/>
    </row>
    <row r="468" spans="6:9" x14ac:dyDescent="0.3">
      <c r="F468" s="101"/>
      <c r="G468" s="101"/>
      <c r="H468" s="101"/>
      <c r="I468" s="101"/>
    </row>
    <row r="469" spans="6:9" x14ac:dyDescent="0.3">
      <c r="F469" s="101"/>
      <c r="G469" s="101"/>
      <c r="H469" s="101"/>
      <c r="I469" s="101"/>
    </row>
    <row r="470" spans="6:9" x14ac:dyDescent="0.3">
      <c r="F470" s="101"/>
      <c r="G470" s="101"/>
      <c r="H470" s="101"/>
      <c r="I470" s="101"/>
    </row>
    <row r="471" spans="6:9" x14ac:dyDescent="0.3">
      <c r="F471" s="101"/>
      <c r="G471" s="101"/>
      <c r="H471" s="101"/>
      <c r="I471" s="101"/>
    </row>
    <row r="472" spans="6:9" x14ac:dyDescent="0.3">
      <c r="F472" s="101"/>
      <c r="G472" s="101"/>
      <c r="H472" s="101"/>
      <c r="I472" s="101"/>
    </row>
    <row r="473" spans="6:9" x14ac:dyDescent="0.3">
      <c r="F473" s="101"/>
      <c r="G473" s="101"/>
      <c r="H473" s="101"/>
      <c r="I473" s="101"/>
    </row>
    <row r="474" spans="6:9" x14ac:dyDescent="0.3">
      <c r="F474" s="101"/>
      <c r="G474" s="101"/>
      <c r="H474" s="101"/>
      <c r="I474" s="101"/>
    </row>
    <row r="475" spans="6:9" x14ac:dyDescent="0.3">
      <c r="F475" s="101"/>
      <c r="G475" s="101"/>
      <c r="H475" s="101"/>
      <c r="I475" s="101"/>
    </row>
    <row r="476" spans="6:9" x14ac:dyDescent="0.3">
      <c r="F476" s="101"/>
      <c r="G476" s="101"/>
      <c r="H476" s="101"/>
      <c r="I476" s="101"/>
    </row>
    <row r="477" spans="6:9" x14ac:dyDescent="0.3">
      <c r="F477" s="101"/>
      <c r="G477" s="101"/>
      <c r="H477" s="101"/>
      <c r="I477" s="101"/>
    </row>
    <row r="478" spans="6:9" x14ac:dyDescent="0.3">
      <c r="F478" s="101"/>
      <c r="G478" s="101"/>
      <c r="H478" s="101"/>
      <c r="I478" s="101"/>
    </row>
    <row r="479" spans="6:9" x14ac:dyDescent="0.3">
      <c r="F479" s="101"/>
      <c r="G479" s="101"/>
      <c r="H479" s="101"/>
      <c r="I479" s="101"/>
    </row>
    <row r="480" spans="6:9" x14ac:dyDescent="0.3">
      <c r="F480" s="101"/>
      <c r="G480" s="101"/>
      <c r="H480" s="101"/>
      <c r="I480" s="101"/>
    </row>
    <row r="481" spans="6:9" x14ac:dyDescent="0.3">
      <c r="F481" s="101"/>
      <c r="G481" s="101"/>
      <c r="H481" s="101"/>
      <c r="I481" s="101"/>
    </row>
    <row r="482" spans="6:9" x14ac:dyDescent="0.3">
      <c r="F482" s="101"/>
      <c r="G482" s="101"/>
      <c r="H482" s="101"/>
      <c r="I482" s="101"/>
    </row>
    <row r="483" spans="6:9" x14ac:dyDescent="0.3">
      <c r="F483" s="101"/>
      <c r="G483" s="101"/>
      <c r="H483" s="101"/>
      <c r="I483" s="101"/>
    </row>
    <row r="484" spans="6:9" x14ac:dyDescent="0.3">
      <c r="F484" s="101"/>
      <c r="G484" s="101"/>
      <c r="H484" s="101"/>
      <c r="I484" s="101"/>
    </row>
    <row r="485" spans="6:9" x14ac:dyDescent="0.3">
      <c r="F485" s="101"/>
      <c r="G485" s="101"/>
      <c r="H485" s="101"/>
      <c r="I485" s="101"/>
    </row>
    <row r="486" spans="6:9" x14ac:dyDescent="0.3">
      <c r="F486" s="101"/>
      <c r="G486" s="101"/>
      <c r="H486" s="101"/>
      <c r="I486" s="101"/>
    </row>
    <row r="487" spans="6:9" x14ac:dyDescent="0.3">
      <c r="F487" s="101"/>
      <c r="G487" s="101"/>
      <c r="H487" s="101"/>
      <c r="I487" s="101"/>
    </row>
    <row r="488" spans="6:9" x14ac:dyDescent="0.3">
      <c r="F488" s="101"/>
      <c r="G488" s="101"/>
      <c r="H488" s="101"/>
      <c r="I488" s="101"/>
    </row>
    <row r="489" spans="6:9" x14ac:dyDescent="0.3">
      <c r="F489" s="101"/>
      <c r="G489" s="101"/>
      <c r="H489" s="101"/>
      <c r="I489" s="101"/>
    </row>
    <row r="490" spans="6:9" x14ac:dyDescent="0.3">
      <c r="F490" s="101"/>
      <c r="G490" s="101"/>
      <c r="H490" s="101"/>
      <c r="I490" s="101"/>
    </row>
    <row r="491" spans="6:9" x14ac:dyDescent="0.3">
      <c r="F491" s="101"/>
      <c r="G491" s="101"/>
      <c r="H491" s="101"/>
      <c r="I491" s="101"/>
    </row>
    <row r="492" spans="6:9" x14ac:dyDescent="0.3">
      <c r="F492" s="101"/>
      <c r="G492" s="101"/>
      <c r="H492" s="101"/>
      <c r="I492" s="101"/>
    </row>
    <row r="493" spans="6:9" x14ac:dyDescent="0.3">
      <c r="F493" s="101"/>
      <c r="G493" s="101"/>
      <c r="H493" s="101"/>
      <c r="I493" s="101"/>
    </row>
    <row r="494" spans="6:9" x14ac:dyDescent="0.3">
      <c r="F494" s="101"/>
      <c r="G494" s="101"/>
      <c r="H494" s="101"/>
      <c r="I494" s="101"/>
    </row>
    <row r="495" spans="6:9" x14ac:dyDescent="0.3">
      <c r="F495" s="101"/>
      <c r="G495" s="101"/>
      <c r="H495" s="101"/>
      <c r="I495" s="101"/>
    </row>
    <row r="496" spans="6:9" x14ac:dyDescent="0.3">
      <c r="F496" s="101"/>
      <c r="G496" s="101"/>
      <c r="H496" s="101"/>
      <c r="I496" s="101"/>
    </row>
    <row r="497" spans="6:9" x14ac:dyDescent="0.3">
      <c r="F497" s="101"/>
      <c r="G497" s="101"/>
      <c r="H497" s="101"/>
      <c r="I497" s="101"/>
    </row>
    <row r="498" spans="6:9" x14ac:dyDescent="0.3">
      <c r="F498" s="101"/>
      <c r="G498" s="101"/>
      <c r="H498" s="101"/>
      <c r="I498" s="101"/>
    </row>
    <row r="499" spans="6:9" x14ac:dyDescent="0.3">
      <c r="F499" s="101"/>
      <c r="G499" s="101"/>
      <c r="H499" s="101"/>
      <c r="I499" s="101"/>
    </row>
    <row r="500" spans="6:9" x14ac:dyDescent="0.3">
      <c r="F500" s="101"/>
      <c r="G500" s="101"/>
      <c r="H500" s="101"/>
      <c r="I500" s="101"/>
    </row>
    <row r="501" spans="6:9" x14ac:dyDescent="0.3">
      <c r="F501" s="101"/>
      <c r="G501" s="101"/>
      <c r="H501" s="101"/>
      <c r="I501" s="101"/>
    </row>
    <row r="502" spans="6:9" x14ac:dyDescent="0.3">
      <c r="F502" s="101"/>
      <c r="G502" s="101"/>
      <c r="H502" s="101"/>
      <c r="I502" s="101"/>
    </row>
    <row r="503" spans="6:9" x14ac:dyDescent="0.3">
      <c r="F503" s="101"/>
      <c r="G503" s="101"/>
      <c r="H503" s="101"/>
      <c r="I503" s="101"/>
    </row>
    <row r="504" spans="6:9" x14ac:dyDescent="0.3">
      <c r="F504" s="101"/>
      <c r="G504" s="101"/>
      <c r="H504" s="101"/>
      <c r="I504" s="101"/>
    </row>
    <row r="505" spans="6:9" x14ac:dyDescent="0.3">
      <c r="F505" s="101"/>
      <c r="G505" s="101"/>
      <c r="H505" s="101"/>
      <c r="I505" s="101"/>
    </row>
    <row r="506" spans="6:9" x14ac:dyDescent="0.3">
      <c r="F506" s="101"/>
      <c r="G506" s="101"/>
      <c r="H506" s="101"/>
      <c r="I506" s="101"/>
    </row>
    <row r="507" spans="6:9" x14ac:dyDescent="0.3">
      <c r="F507" s="101"/>
      <c r="G507" s="101"/>
      <c r="H507" s="101"/>
      <c r="I507" s="101"/>
    </row>
    <row r="508" spans="6:9" x14ac:dyDescent="0.3">
      <c r="F508" s="101"/>
      <c r="G508" s="101"/>
      <c r="H508" s="101"/>
      <c r="I508" s="101"/>
    </row>
    <row r="509" spans="6:9" x14ac:dyDescent="0.3">
      <c r="F509" s="101"/>
      <c r="G509" s="101"/>
      <c r="H509" s="101"/>
      <c r="I509" s="101"/>
    </row>
    <row r="510" spans="6:9" x14ac:dyDescent="0.3">
      <c r="F510" s="101"/>
      <c r="G510" s="101"/>
      <c r="H510" s="101"/>
      <c r="I510" s="101"/>
    </row>
    <row r="511" spans="6:9" x14ac:dyDescent="0.3">
      <c r="F511" s="101"/>
      <c r="G511" s="101"/>
      <c r="H511" s="101"/>
      <c r="I511" s="101"/>
    </row>
    <row r="512" spans="6:9" x14ac:dyDescent="0.3">
      <c r="F512" s="101"/>
      <c r="G512" s="101"/>
      <c r="H512" s="101"/>
      <c r="I512" s="101"/>
    </row>
    <row r="513" spans="6:9" x14ac:dyDescent="0.3">
      <c r="F513" s="101"/>
      <c r="G513" s="101"/>
      <c r="H513" s="101"/>
      <c r="I513" s="101"/>
    </row>
    <row r="514" spans="6:9" x14ac:dyDescent="0.3">
      <c r="F514" s="101"/>
      <c r="G514" s="101"/>
      <c r="H514" s="101"/>
      <c r="I514" s="101"/>
    </row>
    <row r="515" spans="6:9" x14ac:dyDescent="0.3">
      <c r="F515" s="101"/>
      <c r="G515" s="101"/>
      <c r="H515" s="101"/>
      <c r="I515" s="101"/>
    </row>
    <row r="516" spans="6:9" x14ac:dyDescent="0.3">
      <c r="F516" s="101"/>
      <c r="G516" s="101"/>
      <c r="H516" s="101"/>
      <c r="I516" s="101"/>
    </row>
    <row r="517" spans="6:9" x14ac:dyDescent="0.3">
      <c r="F517" s="101"/>
      <c r="G517" s="101"/>
      <c r="H517" s="101"/>
      <c r="I517" s="101"/>
    </row>
    <row r="518" spans="6:9" x14ac:dyDescent="0.3">
      <c r="F518" s="101"/>
      <c r="G518" s="101"/>
      <c r="H518" s="101"/>
      <c r="I518" s="101"/>
    </row>
    <row r="519" spans="6:9" x14ac:dyDescent="0.3">
      <c r="F519" s="101"/>
      <c r="G519" s="101"/>
      <c r="H519" s="101"/>
      <c r="I519" s="101"/>
    </row>
    <row r="520" spans="6:9" x14ac:dyDescent="0.3">
      <c r="F520" s="101"/>
      <c r="G520" s="101"/>
      <c r="H520" s="101"/>
      <c r="I520" s="101"/>
    </row>
    <row r="521" spans="6:9" x14ac:dyDescent="0.3">
      <c r="F521" s="101"/>
      <c r="G521" s="101"/>
      <c r="H521" s="101"/>
      <c r="I521" s="101"/>
    </row>
    <row r="522" spans="6:9" x14ac:dyDescent="0.3">
      <c r="F522" s="101"/>
      <c r="G522" s="101"/>
      <c r="H522" s="101"/>
      <c r="I522" s="101"/>
    </row>
    <row r="523" spans="6:9" x14ac:dyDescent="0.3">
      <c r="F523" s="101"/>
      <c r="G523" s="101"/>
      <c r="H523" s="101"/>
      <c r="I523" s="101"/>
    </row>
    <row r="524" spans="6:9" x14ac:dyDescent="0.3">
      <c r="F524" s="101"/>
      <c r="G524" s="101"/>
      <c r="H524" s="101"/>
      <c r="I524" s="101"/>
    </row>
    <row r="525" spans="6:9" x14ac:dyDescent="0.3">
      <c r="F525" s="101"/>
      <c r="G525" s="101"/>
      <c r="H525" s="101"/>
      <c r="I525" s="101"/>
    </row>
    <row r="526" spans="6:9" x14ac:dyDescent="0.3">
      <c r="F526" s="101"/>
      <c r="G526" s="101"/>
      <c r="H526" s="101"/>
      <c r="I526" s="101"/>
    </row>
    <row r="527" spans="6:9" x14ac:dyDescent="0.3">
      <c r="F527" s="101"/>
      <c r="G527" s="101"/>
      <c r="H527" s="101"/>
      <c r="I527" s="101"/>
    </row>
    <row r="528" spans="6:9" x14ac:dyDescent="0.3">
      <c r="F528" s="101"/>
      <c r="G528" s="101"/>
      <c r="H528" s="101"/>
      <c r="I528" s="101"/>
    </row>
    <row r="529" spans="6:9" x14ac:dyDescent="0.3">
      <c r="F529" s="101"/>
      <c r="G529" s="101"/>
      <c r="H529" s="101"/>
      <c r="I529" s="101"/>
    </row>
    <row r="530" spans="6:9" x14ac:dyDescent="0.3">
      <c r="F530" s="101"/>
      <c r="G530" s="101"/>
      <c r="H530" s="101"/>
      <c r="I530" s="101"/>
    </row>
    <row r="531" spans="6:9" x14ac:dyDescent="0.3">
      <c r="F531" s="101"/>
      <c r="G531" s="101"/>
      <c r="H531" s="101"/>
      <c r="I531" s="101"/>
    </row>
    <row r="532" spans="6:9" x14ac:dyDescent="0.3">
      <c r="F532" s="101"/>
      <c r="G532" s="101"/>
      <c r="H532" s="101"/>
      <c r="I532" s="101"/>
    </row>
    <row r="533" spans="6:9" x14ac:dyDescent="0.3">
      <c r="F533" s="101"/>
      <c r="G533" s="101"/>
      <c r="H533" s="101"/>
      <c r="I533" s="101"/>
    </row>
    <row r="534" spans="6:9" x14ac:dyDescent="0.3">
      <c r="F534" s="101"/>
      <c r="G534" s="101"/>
      <c r="H534" s="101"/>
      <c r="I534" s="101"/>
    </row>
    <row r="535" spans="6:9" x14ac:dyDescent="0.3">
      <c r="F535" s="101"/>
      <c r="G535" s="101"/>
      <c r="H535" s="101"/>
      <c r="I535" s="101"/>
    </row>
    <row r="536" spans="6:9" x14ac:dyDescent="0.3">
      <c r="F536" s="101"/>
      <c r="G536" s="101"/>
      <c r="H536" s="101"/>
      <c r="I536" s="101"/>
    </row>
    <row r="537" spans="6:9" x14ac:dyDescent="0.3">
      <c r="F537" s="101"/>
      <c r="G537" s="101"/>
      <c r="H537" s="101"/>
      <c r="I537" s="101"/>
    </row>
    <row r="538" spans="6:9" x14ac:dyDescent="0.3">
      <c r="F538" s="101"/>
      <c r="G538" s="101"/>
      <c r="H538" s="101"/>
      <c r="I538" s="101"/>
    </row>
    <row r="539" spans="6:9" x14ac:dyDescent="0.3">
      <c r="F539" s="101"/>
      <c r="G539" s="101"/>
      <c r="H539" s="101"/>
      <c r="I539" s="101"/>
    </row>
    <row r="540" spans="6:9" x14ac:dyDescent="0.3">
      <c r="F540" s="101"/>
      <c r="G540" s="101"/>
      <c r="H540" s="101"/>
      <c r="I540" s="101"/>
    </row>
    <row r="541" spans="6:9" x14ac:dyDescent="0.3">
      <c r="F541" s="101"/>
      <c r="G541" s="101"/>
      <c r="H541" s="101"/>
      <c r="I541" s="101"/>
    </row>
    <row r="542" spans="6:9" x14ac:dyDescent="0.3">
      <c r="F542" s="101"/>
      <c r="G542" s="101"/>
      <c r="H542" s="101"/>
      <c r="I542" s="101"/>
    </row>
    <row r="543" spans="6:9" x14ac:dyDescent="0.3">
      <c r="F543" s="101"/>
      <c r="G543" s="101"/>
      <c r="H543" s="101"/>
      <c r="I543" s="101"/>
    </row>
    <row r="544" spans="6:9" x14ac:dyDescent="0.3">
      <c r="F544" s="101"/>
      <c r="G544" s="101"/>
      <c r="H544" s="101"/>
      <c r="I544" s="101"/>
    </row>
    <row r="545" spans="6:9" x14ac:dyDescent="0.3">
      <c r="F545" s="101"/>
      <c r="G545" s="101"/>
      <c r="H545" s="101"/>
      <c r="I545" s="101"/>
    </row>
    <row r="546" spans="6:9" x14ac:dyDescent="0.3">
      <c r="F546" s="101"/>
      <c r="G546" s="101"/>
      <c r="H546" s="101"/>
      <c r="I546" s="101"/>
    </row>
    <row r="547" spans="6:9" x14ac:dyDescent="0.3">
      <c r="F547" s="101"/>
      <c r="G547" s="101"/>
      <c r="H547" s="101"/>
      <c r="I547" s="101"/>
    </row>
    <row r="548" spans="6:9" x14ac:dyDescent="0.3">
      <c r="F548" s="101"/>
      <c r="G548" s="101"/>
      <c r="H548" s="101"/>
      <c r="I548" s="101"/>
    </row>
    <row r="549" spans="6:9" x14ac:dyDescent="0.3">
      <c r="F549" s="101"/>
      <c r="G549" s="101"/>
      <c r="H549" s="101"/>
      <c r="I549" s="101"/>
    </row>
    <row r="550" spans="6:9" x14ac:dyDescent="0.3">
      <c r="F550" s="101"/>
      <c r="G550" s="101"/>
      <c r="H550" s="101"/>
      <c r="I550" s="101"/>
    </row>
    <row r="551" spans="6:9" x14ac:dyDescent="0.3">
      <c r="F551" s="101"/>
      <c r="G551" s="101"/>
      <c r="H551" s="101"/>
      <c r="I551" s="101"/>
    </row>
    <row r="552" spans="6:9" x14ac:dyDescent="0.3">
      <c r="F552" s="101"/>
      <c r="G552" s="101"/>
      <c r="H552" s="101"/>
      <c r="I552" s="101"/>
    </row>
    <row r="553" spans="6:9" x14ac:dyDescent="0.3">
      <c r="F553" s="101"/>
      <c r="G553" s="101"/>
      <c r="H553" s="101"/>
      <c r="I553" s="101"/>
    </row>
    <row r="554" spans="6:9" x14ac:dyDescent="0.3">
      <c r="F554" s="101"/>
      <c r="G554" s="101"/>
      <c r="H554" s="101"/>
      <c r="I554" s="101"/>
    </row>
    <row r="555" spans="6:9" x14ac:dyDescent="0.3">
      <c r="F555" s="101"/>
      <c r="G555" s="101"/>
      <c r="H555" s="101"/>
      <c r="I555" s="101"/>
    </row>
    <row r="556" spans="6:9" x14ac:dyDescent="0.3">
      <c r="F556" s="101"/>
      <c r="G556" s="101"/>
      <c r="H556" s="101"/>
      <c r="I556" s="101"/>
    </row>
    <row r="557" spans="6:9" x14ac:dyDescent="0.3">
      <c r="F557" s="101"/>
      <c r="G557" s="101"/>
      <c r="H557" s="101"/>
      <c r="I557" s="101"/>
    </row>
    <row r="558" spans="6:9" x14ac:dyDescent="0.3">
      <c r="F558" s="101"/>
      <c r="G558" s="101"/>
      <c r="H558" s="101"/>
      <c r="I558" s="101"/>
    </row>
    <row r="559" spans="6:9" x14ac:dyDescent="0.3">
      <c r="F559" s="101"/>
      <c r="G559" s="101"/>
      <c r="H559" s="101"/>
      <c r="I559" s="101"/>
    </row>
    <row r="560" spans="6:9" x14ac:dyDescent="0.3">
      <c r="F560" s="101"/>
      <c r="G560" s="101"/>
      <c r="H560" s="101"/>
      <c r="I560" s="101"/>
    </row>
    <row r="561" spans="6:9" x14ac:dyDescent="0.3">
      <c r="F561" s="101"/>
      <c r="G561" s="101"/>
      <c r="H561" s="101"/>
      <c r="I561" s="101"/>
    </row>
    <row r="562" spans="6:9" x14ac:dyDescent="0.3">
      <c r="F562" s="101"/>
      <c r="G562" s="101"/>
      <c r="H562" s="101"/>
      <c r="I562" s="101"/>
    </row>
    <row r="563" spans="6:9" x14ac:dyDescent="0.3">
      <c r="F563" s="101"/>
      <c r="G563" s="101"/>
      <c r="H563" s="101"/>
      <c r="I563" s="101"/>
    </row>
    <row r="564" spans="6:9" x14ac:dyDescent="0.3">
      <c r="F564" s="101"/>
      <c r="G564" s="101"/>
      <c r="H564" s="101"/>
      <c r="I564" s="101"/>
    </row>
    <row r="565" spans="6:9" x14ac:dyDescent="0.3">
      <c r="F565" s="101"/>
      <c r="G565" s="101"/>
      <c r="H565" s="101"/>
      <c r="I565" s="101"/>
    </row>
    <row r="566" spans="6:9" x14ac:dyDescent="0.3">
      <c r="F566" s="101"/>
      <c r="G566" s="101"/>
      <c r="H566" s="101"/>
      <c r="I566" s="101"/>
    </row>
    <row r="567" spans="6:9" x14ac:dyDescent="0.3">
      <c r="F567" s="101"/>
      <c r="G567" s="101"/>
      <c r="H567" s="101"/>
      <c r="I567" s="101"/>
    </row>
    <row r="568" spans="6:9" x14ac:dyDescent="0.3">
      <c r="F568" s="101"/>
      <c r="G568" s="101"/>
      <c r="H568" s="101"/>
      <c r="I568" s="101"/>
    </row>
    <row r="569" spans="6:9" x14ac:dyDescent="0.3">
      <c r="F569" s="101"/>
      <c r="G569" s="101"/>
      <c r="H569" s="101"/>
      <c r="I569" s="101"/>
    </row>
    <row r="570" spans="6:9" x14ac:dyDescent="0.3">
      <c r="F570" s="101"/>
      <c r="G570" s="101"/>
      <c r="H570" s="101"/>
      <c r="I570" s="101"/>
    </row>
    <row r="571" spans="6:9" x14ac:dyDescent="0.3">
      <c r="F571" s="101"/>
      <c r="G571" s="101"/>
      <c r="H571" s="101"/>
      <c r="I571" s="101"/>
    </row>
    <row r="572" spans="6:9" x14ac:dyDescent="0.3">
      <c r="F572" s="101"/>
      <c r="G572" s="101"/>
      <c r="H572" s="101"/>
      <c r="I572" s="101"/>
    </row>
    <row r="573" spans="6:9" x14ac:dyDescent="0.3">
      <c r="F573" s="101"/>
      <c r="G573" s="101"/>
      <c r="H573" s="101"/>
      <c r="I573" s="101"/>
    </row>
    <row r="574" spans="6:9" x14ac:dyDescent="0.3">
      <c r="F574" s="101"/>
      <c r="G574" s="101"/>
      <c r="H574" s="101"/>
      <c r="I574" s="101"/>
    </row>
    <row r="575" spans="6:9" x14ac:dyDescent="0.3">
      <c r="F575" s="101"/>
      <c r="G575" s="101"/>
      <c r="H575" s="101"/>
      <c r="I575" s="101"/>
    </row>
    <row r="576" spans="6:9" x14ac:dyDescent="0.3">
      <c r="F576" s="101"/>
      <c r="G576" s="101"/>
      <c r="H576" s="101"/>
      <c r="I576" s="101"/>
    </row>
    <row r="577" spans="6:9" x14ac:dyDescent="0.3">
      <c r="F577" s="101"/>
      <c r="G577" s="101"/>
      <c r="H577" s="101"/>
      <c r="I577" s="101"/>
    </row>
    <row r="578" spans="6:9" x14ac:dyDescent="0.3">
      <c r="F578" s="101"/>
      <c r="G578" s="101"/>
      <c r="H578" s="101"/>
      <c r="I578" s="101"/>
    </row>
    <row r="579" spans="6:9" x14ac:dyDescent="0.3">
      <c r="F579" s="101"/>
      <c r="G579" s="101"/>
      <c r="H579" s="101"/>
      <c r="I579" s="101"/>
    </row>
    <row r="580" spans="6:9" x14ac:dyDescent="0.3">
      <c r="F580" s="101"/>
      <c r="G580" s="101"/>
      <c r="H580" s="101"/>
      <c r="I580" s="101"/>
    </row>
    <row r="581" spans="6:9" x14ac:dyDescent="0.3">
      <c r="F581" s="101"/>
      <c r="G581" s="101"/>
      <c r="H581" s="101"/>
      <c r="I581" s="101"/>
    </row>
    <row r="582" spans="6:9" x14ac:dyDescent="0.3">
      <c r="F582" s="101"/>
      <c r="G582" s="101"/>
      <c r="H582" s="101"/>
      <c r="I582" s="101"/>
    </row>
    <row r="583" spans="6:9" x14ac:dyDescent="0.3">
      <c r="F583" s="101"/>
      <c r="G583" s="101"/>
      <c r="H583" s="101"/>
      <c r="I583" s="101"/>
    </row>
    <row r="584" spans="6:9" x14ac:dyDescent="0.3">
      <c r="F584" s="101"/>
      <c r="G584" s="101"/>
      <c r="H584" s="101"/>
      <c r="I584" s="101"/>
    </row>
    <row r="585" spans="6:9" x14ac:dyDescent="0.3">
      <c r="F585" s="101"/>
      <c r="G585" s="101"/>
      <c r="H585" s="101"/>
      <c r="I585" s="101"/>
    </row>
    <row r="586" spans="6:9" x14ac:dyDescent="0.3">
      <c r="F586" s="101"/>
      <c r="G586" s="101"/>
      <c r="H586" s="101"/>
      <c r="I586" s="101"/>
    </row>
    <row r="587" spans="6:9" x14ac:dyDescent="0.3">
      <c r="F587" s="101"/>
      <c r="G587" s="101"/>
      <c r="H587" s="101"/>
      <c r="I587" s="101"/>
    </row>
    <row r="588" spans="6:9" x14ac:dyDescent="0.3">
      <c r="F588" s="101"/>
      <c r="G588" s="101"/>
      <c r="H588" s="101"/>
      <c r="I588" s="101"/>
    </row>
    <row r="589" spans="6:9" x14ac:dyDescent="0.3">
      <c r="F589" s="101"/>
      <c r="G589" s="101"/>
      <c r="H589" s="101"/>
      <c r="I589" s="101"/>
    </row>
    <row r="590" spans="6:9" x14ac:dyDescent="0.3">
      <c r="F590" s="101"/>
      <c r="G590" s="101"/>
      <c r="H590" s="101"/>
      <c r="I590" s="101"/>
    </row>
    <row r="591" spans="6:9" x14ac:dyDescent="0.3">
      <c r="F591" s="101"/>
      <c r="G591" s="101"/>
      <c r="H591" s="101"/>
      <c r="I591" s="101"/>
    </row>
    <row r="592" spans="6:9" x14ac:dyDescent="0.3">
      <c r="F592" s="101"/>
      <c r="G592" s="101"/>
      <c r="H592" s="101"/>
      <c r="I592" s="101"/>
    </row>
    <row r="593" spans="6:9" x14ac:dyDescent="0.3">
      <c r="F593" s="101"/>
      <c r="G593" s="101"/>
      <c r="H593" s="101"/>
      <c r="I593" s="101"/>
    </row>
    <row r="594" spans="6:9" x14ac:dyDescent="0.3">
      <c r="F594" s="101"/>
      <c r="G594" s="101"/>
      <c r="H594" s="101"/>
      <c r="I594" s="101"/>
    </row>
    <row r="595" spans="6:9" x14ac:dyDescent="0.3">
      <c r="F595" s="101"/>
      <c r="G595" s="101"/>
      <c r="H595" s="101"/>
      <c r="I595" s="101"/>
    </row>
    <row r="596" spans="6:9" x14ac:dyDescent="0.3">
      <c r="F596" s="101"/>
      <c r="G596" s="101"/>
      <c r="H596" s="101"/>
      <c r="I596" s="101"/>
    </row>
    <row r="597" spans="6:9" x14ac:dyDescent="0.3">
      <c r="F597" s="101"/>
      <c r="G597" s="101"/>
      <c r="H597" s="101"/>
      <c r="I597" s="101"/>
    </row>
    <row r="598" spans="6:9" x14ac:dyDescent="0.3">
      <c r="F598" s="101"/>
      <c r="G598" s="101"/>
      <c r="H598" s="101"/>
      <c r="I598" s="101"/>
    </row>
    <row r="599" spans="6:9" x14ac:dyDescent="0.3">
      <c r="F599" s="101"/>
      <c r="G599" s="101"/>
      <c r="H599" s="101"/>
      <c r="I599" s="101"/>
    </row>
    <row r="600" spans="6:9" x14ac:dyDescent="0.3">
      <c r="F600" s="101"/>
      <c r="G600" s="101"/>
      <c r="H600" s="101"/>
      <c r="I600" s="101"/>
    </row>
    <row r="601" spans="6:9" x14ac:dyDescent="0.3">
      <c r="F601" s="101"/>
      <c r="G601" s="101"/>
      <c r="H601" s="101"/>
      <c r="I601" s="101"/>
    </row>
    <row r="602" spans="6:9" x14ac:dyDescent="0.3">
      <c r="F602" s="101"/>
      <c r="G602" s="101"/>
      <c r="H602" s="101"/>
      <c r="I602" s="101"/>
    </row>
    <row r="603" spans="6:9" x14ac:dyDescent="0.3">
      <c r="F603" s="101"/>
      <c r="G603" s="101"/>
      <c r="H603" s="101"/>
      <c r="I603" s="101"/>
    </row>
    <row r="604" spans="6:9" x14ac:dyDescent="0.3">
      <c r="F604" s="101"/>
      <c r="G604" s="101"/>
      <c r="H604" s="101"/>
      <c r="I604" s="101"/>
    </row>
    <row r="605" spans="6:9" x14ac:dyDescent="0.3">
      <c r="F605" s="101"/>
      <c r="G605" s="101"/>
      <c r="H605" s="101"/>
      <c r="I605" s="101"/>
    </row>
    <row r="606" spans="6:9" x14ac:dyDescent="0.3">
      <c r="F606" s="101"/>
      <c r="G606" s="101"/>
      <c r="H606" s="101"/>
      <c r="I606" s="101"/>
    </row>
    <row r="607" spans="6:9" x14ac:dyDescent="0.3">
      <c r="F607" s="101"/>
      <c r="G607" s="101"/>
      <c r="H607" s="101"/>
      <c r="I607" s="101"/>
    </row>
    <row r="608" spans="6:9" x14ac:dyDescent="0.3">
      <c r="F608" s="101"/>
      <c r="G608" s="101"/>
      <c r="H608" s="101"/>
      <c r="I608" s="101"/>
    </row>
    <row r="609" spans="6:9" x14ac:dyDescent="0.3">
      <c r="F609" s="101"/>
      <c r="G609" s="101"/>
      <c r="H609" s="101"/>
      <c r="I609" s="101"/>
    </row>
    <row r="610" spans="6:9" x14ac:dyDescent="0.3">
      <c r="F610" s="101"/>
      <c r="G610" s="101"/>
      <c r="H610" s="101"/>
      <c r="I610" s="101"/>
    </row>
    <row r="611" spans="6:9" x14ac:dyDescent="0.3">
      <c r="F611" s="101"/>
      <c r="G611" s="101"/>
      <c r="H611" s="101"/>
      <c r="I611" s="101"/>
    </row>
    <row r="612" spans="6:9" x14ac:dyDescent="0.3">
      <c r="F612" s="101"/>
      <c r="G612" s="101"/>
      <c r="H612" s="101"/>
      <c r="I612" s="101"/>
    </row>
    <row r="613" spans="6:9" x14ac:dyDescent="0.3">
      <c r="F613" s="101"/>
      <c r="G613" s="101"/>
      <c r="H613" s="101"/>
      <c r="I613" s="101"/>
    </row>
    <row r="614" spans="6:9" x14ac:dyDescent="0.3">
      <c r="F614" s="101"/>
      <c r="G614" s="101"/>
      <c r="H614" s="101"/>
      <c r="I614" s="101"/>
    </row>
    <row r="615" spans="6:9" x14ac:dyDescent="0.3">
      <c r="F615" s="101"/>
      <c r="G615" s="101"/>
      <c r="H615" s="101"/>
      <c r="I615" s="101"/>
    </row>
    <row r="616" spans="6:9" x14ac:dyDescent="0.3">
      <c r="F616" s="101"/>
      <c r="G616" s="101"/>
      <c r="H616" s="101"/>
      <c r="I616" s="101"/>
    </row>
    <row r="617" spans="6:9" x14ac:dyDescent="0.3">
      <c r="F617" s="101"/>
      <c r="G617" s="101"/>
      <c r="H617" s="101"/>
      <c r="I617" s="101"/>
    </row>
    <row r="618" spans="6:9" x14ac:dyDescent="0.3">
      <c r="F618" s="101"/>
      <c r="G618" s="101"/>
      <c r="H618" s="101"/>
      <c r="I618" s="101"/>
    </row>
    <row r="619" spans="6:9" x14ac:dyDescent="0.3">
      <c r="F619" s="101"/>
      <c r="G619" s="101"/>
      <c r="H619" s="101"/>
      <c r="I619" s="101"/>
    </row>
    <row r="620" spans="6:9" x14ac:dyDescent="0.3">
      <c r="F620" s="101"/>
      <c r="G620" s="101"/>
      <c r="H620" s="101"/>
      <c r="I620" s="101"/>
    </row>
    <row r="621" spans="6:9" x14ac:dyDescent="0.3">
      <c r="F621" s="101"/>
      <c r="G621" s="101"/>
      <c r="H621" s="101"/>
      <c r="I621" s="101"/>
    </row>
    <row r="622" spans="6:9" x14ac:dyDescent="0.3">
      <c r="F622" s="101"/>
      <c r="G622" s="101"/>
      <c r="H622" s="101"/>
      <c r="I622" s="101"/>
    </row>
    <row r="623" spans="6:9" x14ac:dyDescent="0.3">
      <c r="F623" s="101"/>
      <c r="G623" s="101"/>
      <c r="H623" s="101"/>
      <c r="I623" s="101"/>
    </row>
    <row r="624" spans="6:9" x14ac:dyDescent="0.3">
      <c r="F624" s="101"/>
      <c r="G624" s="101"/>
      <c r="H624" s="101"/>
      <c r="I624" s="101"/>
    </row>
    <row r="625" spans="6:9" x14ac:dyDescent="0.3">
      <c r="F625" s="101"/>
      <c r="G625" s="101"/>
      <c r="H625" s="101"/>
      <c r="I625" s="101"/>
    </row>
    <row r="626" spans="6:9" x14ac:dyDescent="0.3">
      <c r="F626" s="101"/>
      <c r="G626" s="101"/>
      <c r="H626" s="101"/>
      <c r="I626" s="101"/>
    </row>
    <row r="627" spans="6:9" x14ac:dyDescent="0.3">
      <c r="F627" s="101"/>
      <c r="G627" s="101"/>
      <c r="H627" s="101"/>
      <c r="I627" s="101"/>
    </row>
    <row r="628" spans="6:9" x14ac:dyDescent="0.3">
      <c r="F628" s="101"/>
      <c r="G628" s="101"/>
      <c r="H628" s="101"/>
      <c r="I628" s="101"/>
    </row>
    <row r="629" spans="6:9" x14ac:dyDescent="0.3">
      <c r="F629" s="101"/>
      <c r="G629" s="101"/>
      <c r="H629" s="101"/>
      <c r="I629" s="101"/>
    </row>
    <row r="630" spans="6:9" x14ac:dyDescent="0.3">
      <c r="F630" s="101"/>
      <c r="G630" s="101"/>
      <c r="H630" s="101"/>
      <c r="I630" s="101"/>
    </row>
    <row r="631" spans="6:9" x14ac:dyDescent="0.3">
      <c r="F631" s="101"/>
      <c r="G631" s="101"/>
      <c r="H631" s="101"/>
      <c r="I631" s="101"/>
    </row>
    <row r="632" spans="6:9" x14ac:dyDescent="0.3">
      <c r="F632" s="101"/>
      <c r="G632" s="101"/>
      <c r="H632" s="101"/>
      <c r="I632" s="101"/>
    </row>
    <row r="633" spans="6:9" x14ac:dyDescent="0.3">
      <c r="F633" s="101"/>
      <c r="G633" s="101"/>
      <c r="H633" s="101"/>
      <c r="I633" s="101"/>
    </row>
    <row r="634" spans="6:9" x14ac:dyDescent="0.3">
      <c r="F634" s="101"/>
      <c r="G634" s="101"/>
      <c r="H634" s="101"/>
      <c r="I634" s="101"/>
    </row>
    <row r="635" spans="6:9" x14ac:dyDescent="0.3">
      <c r="F635" s="101"/>
      <c r="G635" s="101"/>
      <c r="H635" s="101"/>
      <c r="I635" s="101"/>
    </row>
    <row r="636" spans="6:9" x14ac:dyDescent="0.3">
      <c r="F636" s="101"/>
      <c r="G636" s="101"/>
      <c r="H636" s="101"/>
      <c r="I636" s="101"/>
    </row>
    <row r="637" spans="6:9" x14ac:dyDescent="0.3">
      <c r="F637" s="101"/>
      <c r="G637" s="101"/>
      <c r="H637" s="101"/>
      <c r="I637" s="101"/>
    </row>
    <row r="638" spans="6:9" x14ac:dyDescent="0.3">
      <c r="F638" s="101"/>
      <c r="G638" s="101"/>
      <c r="H638" s="101"/>
      <c r="I638" s="101"/>
    </row>
    <row r="639" spans="6:9" x14ac:dyDescent="0.3">
      <c r="F639" s="101"/>
      <c r="G639" s="101"/>
      <c r="H639" s="101"/>
      <c r="I639" s="101"/>
    </row>
    <row r="640" spans="6:9" x14ac:dyDescent="0.3">
      <c r="F640" s="101"/>
      <c r="G640" s="101"/>
      <c r="H640" s="101"/>
      <c r="I640" s="101"/>
    </row>
    <row r="641" spans="6:9" x14ac:dyDescent="0.3">
      <c r="F641" s="101"/>
      <c r="G641" s="101"/>
      <c r="H641" s="101"/>
      <c r="I641" s="101"/>
    </row>
    <row r="642" spans="6:9" x14ac:dyDescent="0.3">
      <c r="F642" s="101"/>
      <c r="G642" s="101"/>
      <c r="H642" s="101"/>
      <c r="I642" s="101"/>
    </row>
    <row r="643" spans="6:9" x14ac:dyDescent="0.3">
      <c r="F643" s="101"/>
      <c r="G643" s="101"/>
      <c r="H643" s="101"/>
      <c r="I643" s="101"/>
    </row>
    <row r="644" spans="6:9" x14ac:dyDescent="0.3">
      <c r="F644" s="101"/>
      <c r="G644" s="101"/>
      <c r="H644" s="101"/>
      <c r="I644" s="101"/>
    </row>
    <row r="645" spans="6:9" x14ac:dyDescent="0.3">
      <c r="F645" s="101"/>
      <c r="G645" s="101"/>
      <c r="H645" s="101"/>
      <c r="I645" s="101"/>
    </row>
    <row r="646" spans="6:9" x14ac:dyDescent="0.3">
      <c r="F646" s="101"/>
      <c r="G646" s="101"/>
      <c r="H646" s="101"/>
      <c r="I646" s="101"/>
    </row>
    <row r="647" spans="6:9" x14ac:dyDescent="0.3">
      <c r="F647" s="101"/>
      <c r="G647" s="101"/>
      <c r="H647" s="101"/>
      <c r="I647" s="101"/>
    </row>
    <row r="648" spans="6:9" x14ac:dyDescent="0.3">
      <c r="F648" s="101"/>
      <c r="G648" s="101"/>
      <c r="H648" s="101"/>
      <c r="I648" s="101"/>
    </row>
    <row r="649" spans="6:9" x14ac:dyDescent="0.3">
      <c r="F649" s="101"/>
      <c r="G649" s="101"/>
      <c r="H649" s="101"/>
      <c r="I649" s="101"/>
    </row>
    <row r="650" spans="6:9" x14ac:dyDescent="0.3">
      <c r="F650" s="101"/>
      <c r="G650" s="101"/>
      <c r="H650" s="101"/>
      <c r="I650" s="101"/>
    </row>
    <row r="651" spans="6:9" x14ac:dyDescent="0.3">
      <c r="F651" s="101"/>
      <c r="G651" s="101"/>
      <c r="H651" s="101"/>
      <c r="I651" s="101"/>
    </row>
    <row r="652" spans="6:9" x14ac:dyDescent="0.3">
      <c r="F652" s="101"/>
      <c r="G652" s="101"/>
      <c r="H652" s="101"/>
      <c r="I652" s="101"/>
    </row>
    <row r="653" spans="6:9" x14ac:dyDescent="0.3">
      <c r="F653" s="101"/>
      <c r="G653" s="101"/>
      <c r="H653" s="101"/>
      <c r="I653" s="101"/>
    </row>
    <row r="654" spans="6:9" x14ac:dyDescent="0.3">
      <c r="F654" s="101"/>
      <c r="G654" s="101"/>
      <c r="H654" s="101"/>
      <c r="I654" s="101"/>
    </row>
    <row r="655" spans="6:9" x14ac:dyDescent="0.3">
      <c r="F655" s="101"/>
      <c r="G655" s="101"/>
      <c r="H655" s="101"/>
      <c r="I655" s="101"/>
    </row>
    <row r="656" spans="6:9" x14ac:dyDescent="0.3">
      <c r="F656" s="101"/>
      <c r="G656" s="101"/>
      <c r="H656" s="101"/>
      <c r="I656" s="101"/>
    </row>
    <row r="657" spans="6:9" x14ac:dyDescent="0.3">
      <c r="F657" s="101"/>
      <c r="G657" s="101"/>
      <c r="H657" s="101"/>
      <c r="I657" s="101"/>
    </row>
    <row r="658" spans="6:9" x14ac:dyDescent="0.3">
      <c r="F658" s="101"/>
      <c r="G658" s="101"/>
      <c r="H658" s="101"/>
      <c r="I658" s="101"/>
    </row>
    <row r="659" spans="6:9" x14ac:dyDescent="0.3">
      <c r="F659" s="101"/>
      <c r="G659" s="101"/>
      <c r="H659" s="101"/>
      <c r="I659" s="101"/>
    </row>
    <row r="660" spans="6:9" x14ac:dyDescent="0.3">
      <c r="F660" s="101"/>
      <c r="G660" s="101"/>
      <c r="H660" s="101"/>
      <c r="I660" s="101"/>
    </row>
    <row r="661" spans="6:9" x14ac:dyDescent="0.3">
      <c r="F661" s="101"/>
      <c r="G661" s="101"/>
      <c r="H661" s="101"/>
      <c r="I661" s="101"/>
    </row>
    <row r="662" spans="6:9" x14ac:dyDescent="0.3">
      <c r="F662" s="101"/>
      <c r="G662" s="101"/>
      <c r="H662" s="101"/>
      <c r="I662" s="101"/>
    </row>
    <row r="663" spans="6:9" x14ac:dyDescent="0.3">
      <c r="F663" s="101"/>
      <c r="G663" s="101"/>
      <c r="H663" s="101"/>
      <c r="I663" s="101"/>
    </row>
    <row r="664" spans="6:9" x14ac:dyDescent="0.3">
      <c r="F664" s="101"/>
      <c r="G664" s="101"/>
      <c r="H664" s="101"/>
      <c r="I664" s="101"/>
    </row>
    <row r="665" spans="6:9" x14ac:dyDescent="0.3">
      <c r="F665" s="101"/>
      <c r="G665" s="101"/>
      <c r="H665" s="101"/>
      <c r="I665" s="101"/>
    </row>
    <row r="666" spans="6:9" x14ac:dyDescent="0.3">
      <c r="F666" s="101"/>
      <c r="G666" s="101"/>
      <c r="H666" s="101"/>
      <c r="I666" s="101"/>
    </row>
    <row r="667" spans="6:9" x14ac:dyDescent="0.3">
      <c r="F667" s="101"/>
      <c r="G667" s="101"/>
      <c r="H667" s="101"/>
      <c r="I667" s="101"/>
    </row>
    <row r="668" spans="6:9" x14ac:dyDescent="0.3">
      <c r="F668" s="101"/>
      <c r="G668" s="101"/>
      <c r="H668" s="101"/>
      <c r="I668" s="101"/>
    </row>
    <row r="669" spans="6:9" x14ac:dyDescent="0.3">
      <c r="F669" s="101"/>
      <c r="G669" s="101"/>
      <c r="H669" s="101"/>
      <c r="I669" s="101"/>
    </row>
    <row r="670" spans="6:9" x14ac:dyDescent="0.3">
      <c r="F670" s="101"/>
      <c r="G670" s="101"/>
      <c r="H670" s="101"/>
      <c r="I670" s="101"/>
    </row>
    <row r="671" spans="6:9" x14ac:dyDescent="0.3">
      <c r="F671" s="101"/>
      <c r="G671" s="101"/>
      <c r="H671" s="101"/>
      <c r="I671" s="101"/>
    </row>
    <row r="672" spans="6:9" x14ac:dyDescent="0.3">
      <c r="F672" s="101"/>
      <c r="G672" s="101"/>
      <c r="H672" s="101"/>
      <c r="I672" s="101"/>
    </row>
    <row r="673" spans="6:9" x14ac:dyDescent="0.3">
      <c r="F673" s="101"/>
      <c r="G673" s="101"/>
      <c r="H673" s="101"/>
      <c r="I673" s="101"/>
    </row>
    <row r="674" spans="6:9" x14ac:dyDescent="0.3">
      <c r="F674" s="101"/>
      <c r="G674" s="101"/>
      <c r="H674" s="101"/>
      <c r="I674" s="101"/>
    </row>
    <row r="675" spans="6:9" x14ac:dyDescent="0.3">
      <c r="F675" s="101"/>
      <c r="G675" s="101"/>
      <c r="H675" s="101"/>
      <c r="I675" s="101"/>
    </row>
    <row r="676" spans="6:9" x14ac:dyDescent="0.3">
      <c r="F676" s="101"/>
      <c r="G676" s="101"/>
      <c r="H676" s="101"/>
      <c r="I676" s="101"/>
    </row>
    <row r="677" spans="6:9" x14ac:dyDescent="0.3">
      <c r="F677" s="101"/>
      <c r="G677" s="101"/>
      <c r="H677" s="101"/>
      <c r="I677" s="101"/>
    </row>
    <row r="678" spans="6:9" x14ac:dyDescent="0.3">
      <c r="F678" s="101"/>
      <c r="G678" s="101"/>
      <c r="H678" s="101"/>
      <c r="I678" s="101"/>
    </row>
    <row r="679" spans="6:9" x14ac:dyDescent="0.3">
      <c r="F679" s="101"/>
      <c r="G679" s="101"/>
      <c r="H679" s="101"/>
      <c r="I679" s="101"/>
    </row>
    <row r="680" spans="6:9" x14ac:dyDescent="0.3">
      <c r="F680" s="101"/>
      <c r="G680" s="101"/>
      <c r="H680" s="101"/>
      <c r="I680" s="101"/>
    </row>
    <row r="681" spans="6:9" x14ac:dyDescent="0.3">
      <c r="F681" s="101"/>
      <c r="G681" s="101"/>
      <c r="H681" s="101"/>
      <c r="I681" s="101"/>
    </row>
    <row r="682" spans="6:9" x14ac:dyDescent="0.3">
      <c r="F682" s="101"/>
      <c r="G682" s="101"/>
      <c r="H682" s="101"/>
      <c r="I682" s="101"/>
    </row>
    <row r="683" spans="6:9" x14ac:dyDescent="0.3">
      <c r="F683" s="101"/>
      <c r="G683" s="101"/>
      <c r="H683" s="101"/>
      <c r="I683" s="101"/>
    </row>
    <row r="684" spans="6:9" x14ac:dyDescent="0.3">
      <c r="F684" s="101"/>
      <c r="G684" s="101"/>
      <c r="H684" s="101"/>
      <c r="I684" s="101"/>
    </row>
    <row r="685" spans="6:9" x14ac:dyDescent="0.3">
      <c r="F685" s="101"/>
      <c r="G685" s="101"/>
      <c r="H685" s="101"/>
      <c r="I685" s="101"/>
    </row>
    <row r="686" spans="6:9" x14ac:dyDescent="0.3">
      <c r="F686" s="101"/>
      <c r="G686" s="101"/>
      <c r="H686" s="101"/>
      <c r="I686" s="101"/>
    </row>
    <row r="687" spans="6:9" x14ac:dyDescent="0.3">
      <c r="F687" s="101"/>
      <c r="G687" s="101"/>
      <c r="H687" s="101"/>
      <c r="I687" s="101"/>
    </row>
    <row r="688" spans="6:9" x14ac:dyDescent="0.3">
      <c r="F688" s="101"/>
      <c r="G688" s="101"/>
      <c r="H688" s="101"/>
      <c r="I688" s="101"/>
    </row>
    <row r="689" spans="6:9" x14ac:dyDescent="0.3">
      <c r="F689" s="101"/>
      <c r="G689" s="101"/>
      <c r="H689" s="101"/>
      <c r="I689" s="101"/>
    </row>
    <row r="690" spans="6:9" x14ac:dyDescent="0.3">
      <c r="F690" s="101"/>
      <c r="G690" s="101"/>
      <c r="H690" s="101"/>
      <c r="I690" s="101"/>
    </row>
    <row r="691" spans="6:9" x14ac:dyDescent="0.3">
      <c r="F691" s="101"/>
      <c r="G691" s="101"/>
      <c r="H691" s="101"/>
      <c r="I691" s="101"/>
    </row>
    <row r="692" spans="6:9" x14ac:dyDescent="0.3">
      <c r="F692" s="101"/>
      <c r="G692" s="101"/>
      <c r="H692" s="101"/>
      <c r="I692" s="101"/>
    </row>
    <row r="693" spans="6:9" x14ac:dyDescent="0.3">
      <c r="F693" s="101"/>
      <c r="G693" s="101"/>
      <c r="H693" s="101"/>
      <c r="I693" s="101"/>
    </row>
    <row r="694" spans="6:9" x14ac:dyDescent="0.3">
      <c r="F694" s="101"/>
      <c r="G694" s="101"/>
      <c r="H694" s="101"/>
      <c r="I694" s="101"/>
    </row>
    <row r="695" spans="6:9" x14ac:dyDescent="0.3">
      <c r="F695" s="101"/>
      <c r="G695" s="101"/>
      <c r="H695" s="101"/>
      <c r="I695" s="101"/>
    </row>
    <row r="696" spans="6:9" x14ac:dyDescent="0.3">
      <c r="F696" s="101"/>
      <c r="G696" s="101"/>
      <c r="H696" s="101"/>
      <c r="I696" s="101"/>
    </row>
    <row r="697" spans="6:9" x14ac:dyDescent="0.3">
      <c r="F697" s="101"/>
      <c r="G697" s="101"/>
      <c r="H697" s="101"/>
      <c r="I697" s="101"/>
    </row>
    <row r="698" spans="6:9" x14ac:dyDescent="0.3">
      <c r="F698" s="101"/>
      <c r="G698" s="101"/>
      <c r="H698" s="101"/>
      <c r="I698" s="101"/>
    </row>
    <row r="699" spans="6:9" x14ac:dyDescent="0.3">
      <c r="F699" s="101"/>
      <c r="G699" s="101"/>
      <c r="H699" s="101"/>
      <c r="I699" s="101"/>
    </row>
    <row r="700" spans="6:9" x14ac:dyDescent="0.3">
      <c r="F700" s="101"/>
      <c r="G700" s="101"/>
      <c r="H700" s="101"/>
      <c r="I700" s="101"/>
    </row>
    <row r="701" spans="6:9" x14ac:dyDescent="0.3">
      <c r="F701" s="101"/>
      <c r="G701" s="101"/>
      <c r="H701" s="101"/>
      <c r="I701" s="101"/>
    </row>
    <row r="702" spans="6:9" x14ac:dyDescent="0.3">
      <c r="F702" s="101"/>
      <c r="G702" s="101"/>
      <c r="H702" s="101"/>
      <c r="I702" s="101"/>
    </row>
    <row r="703" spans="6:9" x14ac:dyDescent="0.3">
      <c r="F703" s="101"/>
      <c r="G703" s="101"/>
      <c r="H703" s="101"/>
      <c r="I703" s="101"/>
    </row>
    <row r="704" spans="6:9" x14ac:dyDescent="0.3">
      <c r="F704" s="101"/>
      <c r="G704" s="101"/>
      <c r="H704" s="101"/>
      <c r="I704" s="101"/>
    </row>
    <row r="705" spans="6:9" x14ac:dyDescent="0.3">
      <c r="F705" s="101"/>
      <c r="G705" s="101"/>
      <c r="H705" s="101"/>
      <c r="I705" s="101"/>
    </row>
    <row r="706" spans="6:9" x14ac:dyDescent="0.3">
      <c r="F706" s="101"/>
      <c r="G706" s="101"/>
      <c r="H706" s="101"/>
      <c r="I706" s="101"/>
    </row>
    <row r="707" spans="6:9" x14ac:dyDescent="0.3">
      <c r="F707" s="101"/>
      <c r="G707" s="101"/>
      <c r="H707" s="101"/>
      <c r="I707" s="101"/>
    </row>
    <row r="708" spans="6:9" x14ac:dyDescent="0.3">
      <c r="F708" s="101"/>
      <c r="G708" s="101"/>
      <c r="H708" s="101"/>
      <c r="I708" s="101"/>
    </row>
    <row r="709" spans="6:9" x14ac:dyDescent="0.3">
      <c r="F709" s="101"/>
      <c r="G709" s="101"/>
      <c r="H709" s="101"/>
      <c r="I709" s="101"/>
    </row>
    <row r="710" spans="6:9" x14ac:dyDescent="0.3">
      <c r="F710" s="101"/>
      <c r="G710" s="101"/>
      <c r="H710" s="101"/>
      <c r="I710" s="101"/>
    </row>
    <row r="711" spans="6:9" x14ac:dyDescent="0.3">
      <c r="F711" s="101"/>
      <c r="G711" s="101"/>
      <c r="H711" s="101"/>
      <c r="I711" s="101"/>
    </row>
    <row r="712" spans="6:9" x14ac:dyDescent="0.3">
      <c r="F712" s="101"/>
      <c r="G712" s="101"/>
      <c r="H712" s="101"/>
      <c r="I712" s="101"/>
    </row>
    <row r="713" spans="6:9" x14ac:dyDescent="0.3">
      <c r="F713" s="101"/>
      <c r="G713" s="101"/>
      <c r="H713" s="101"/>
      <c r="I713" s="101"/>
    </row>
    <row r="714" spans="6:9" x14ac:dyDescent="0.3">
      <c r="F714" s="101"/>
      <c r="G714" s="101"/>
      <c r="H714" s="101"/>
      <c r="I714" s="101"/>
    </row>
    <row r="715" spans="6:9" x14ac:dyDescent="0.3">
      <c r="F715" s="101"/>
      <c r="G715" s="101"/>
      <c r="H715" s="101"/>
      <c r="I715" s="101"/>
    </row>
    <row r="716" spans="6:9" x14ac:dyDescent="0.3">
      <c r="F716" s="101"/>
      <c r="G716" s="101"/>
      <c r="H716" s="101"/>
      <c r="I716" s="101"/>
    </row>
    <row r="717" spans="6:9" x14ac:dyDescent="0.3">
      <c r="F717" s="101"/>
      <c r="G717" s="101"/>
      <c r="H717" s="101"/>
      <c r="I717" s="101"/>
    </row>
    <row r="718" spans="6:9" x14ac:dyDescent="0.3">
      <c r="F718" s="101"/>
      <c r="G718" s="101"/>
      <c r="H718" s="101"/>
      <c r="I718" s="101"/>
    </row>
    <row r="719" spans="6:9" x14ac:dyDescent="0.3">
      <c r="F719" s="101"/>
      <c r="G719" s="101"/>
      <c r="H719" s="101"/>
      <c r="I719" s="101"/>
    </row>
    <row r="720" spans="6:9" x14ac:dyDescent="0.3">
      <c r="F720" s="101"/>
      <c r="G720" s="101"/>
      <c r="H720" s="101"/>
      <c r="I720" s="101"/>
    </row>
    <row r="721" spans="6:9" x14ac:dyDescent="0.3">
      <c r="F721" s="101"/>
      <c r="G721" s="101"/>
      <c r="H721" s="101"/>
      <c r="I721" s="101"/>
    </row>
    <row r="722" spans="6:9" x14ac:dyDescent="0.3">
      <c r="F722" s="101"/>
      <c r="G722" s="101"/>
      <c r="H722" s="101"/>
      <c r="I722" s="101"/>
    </row>
    <row r="723" spans="6:9" x14ac:dyDescent="0.3">
      <c r="F723" s="101"/>
      <c r="G723" s="101"/>
      <c r="H723" s="101"/>
      <c r="I723" s="101"/>
    </row>
    <row r="724" spans="6:9" x14ac:dyDescent="0.3">
      <c r="F724" s="101"/>
      <c r="G724" s="101"/>
      <c r="H724" s="101"/>
      <c r="I724" s="101"/>
    </row>
    <row r="725" spans="6:9" x14ac:dyDescent="0.3">
      <c r="F725" s="101"/>
      <c r="G725" s="101"/>
      <c r="H725" s="101"/>
      <c r="I725" s="101"/>
    </row>
    <row r="726" spans="6:9" x14ac:dyDescent="0.3">
      <c r="F726" s="101"/>
      <c r="G726" s="101"/>
      <c r="H726" s="101"/>
      <c r="I726" s="101"/>
    </row>
    <row r="727" spans="6:9" x14ac:dyDescent="0.3">
      <c r="F727" s="101"/>
      <c r="G727" s="101"/>
      <c r="H727" s="101"/>
      <c r="I727" s="101"/>
    </row>
    <row r="728" spans="6:9" x14ac:dyDescent="0.3">
      <c r="F728" s="101"/>
      <c r="G728" s="101"/>
      <c r="H728" s="101"/>
      <c r="I728" s="101"/>
    </row>
    <row r="729" spans="6:9" x14ac:dyDescent="0.3">
      <c r="F729" s="101"/>
      <c r="G729" s="101"/>
      <c r="H729" s="101"/>
      <c r="I729" s="101"/>
    </row>
    <row r="730" spans="6:9" x14ac:dyDescent="0.3">
      <c r="F730" s="101"/>
      <c r="G730" s="101"/>
      <c r="H730" s="101"/>
      <c r="I730" s="101"/>
    </row>
    <row r="731" spans="6:9" x14ac:dyDescent="0.3">
      <c r="F731" s="101"/>
      <c r="G731" s="101"/>
      <c r="H731" s="101"/>
      <c r="I731" s="101"/>
    </row>
    <row r="732" spans="6:9" x14ac:dyDescent="0.3">
      <c r="F732" s="101"/>
      <c r="G732" s="101"/>
      <c r="H732" s="101"/>
      <c r="I732" s="101"/>
    </row>
    <row r="733" spans="6:9" x14ac:dyDescent="0.3">
      <c r="F733" s="101"/>
      <c r="G733" s="101"/>
      <c r="H733" s="101"/>
      <c r="I733" s="101"/>
    </row>
    <row r="734" spans="6:9" x14ac:dyDescent="0.3">
      <c r="F734" s="101"/>
      <c r="G734" s="101"/>
      <c r="H734" s="101"/>
      <c r="I734" s="101"/>
    </row>
    <row r="735" spans="6:9" x14ac:dyDescent="0.3">
      <c r="F735" s="101"/>
      <c r="G735" s="101"/>
      <c r="H735" s="101"/>
      <c r="I735" s="101"/>
    </row>
    <row r="736" spans="6:9" x14ac:dyDescent="0.3">
      <c r="F736" s="101"/>
      <c r="G736" s="101"/>
      <c r="H736" s="101"/>
      <c r="I736" s="101"/>
    </row>
    <row r="737" spans="6:9" x14ac:dyDescent="0.3">
      <c r="F737" s="101"/>
      <c r="G737" s="101"/>
      <c r="H737" s="101"/>
      <c r="I737" s="101"/>
    </row>
    <row r="738" spans="6:9" x14ac:dyDescent="0.3">
      <c r="F738" s="101"/>
      <c r="G738" s="101"/>
      <c r="H738" s="101"/>
      <c r="I738" s="101"/>
    </row>
    <row r="739" spans="6:9" x14ac:dyDescent="0.3">
      <c r="F739" s="101"/>
      <c r="G739" s="101"/>
      <c r="H739" s="101"/>
      <c r="I739" s="101"/>
    </row>
    <row r="740" spans="6:9" x14ac:dyDescent="0.3">
      <c r="F740" s="101"/>
      <c r="G740" s="101"/>
      <c r="H740" s="101"/>
      <c r="I740" s="101"/>
    </row>
    <row r="741" spans="6:9" x14ac:dyDescent="0.3">
      <c r="F741" s="101"/>
      <c r="G741" s="101"/>
      <c r="H741" s="101"/>
      <c r="I741" s="101"/>
    </row>
    <row r="742" spans="6:9" x14ac:dyDescent="0.3">
      <c r="F742" s="101"/>
      <c r="G742" s="101"/>
      <c r="H742" s="101"/>
      <c r="I742" s="101"/>
    </row>
    <row r="743" spans="6:9" x14ac:dyDescent="0.3">
      <c r="F743" s="101"/>
      <c r="G743" s="101"/>
      <c r="H743" s="101"/>
      <c r="I743" s="101"/>
    </row>
    <row r="744" spans="6:9" x14ac:dyDescent="0.3">
      <c r="F744" s="101"/>
      <c r="G744" s="101"/>
      <c r="H744" s="101"/>
      <c r="I744" s="101"/>
    </row>
    <row r="745" spans="6:9" x14ac:dyDescent="0.3">
      <c r="F745" s="101"/>
      <c r="G745" s="101"/>
      <c r="H745" s="101"/>
      <c r="I745" s="101"/>
    </row>
    <row r="746" spans="6:9" x14ac:dyDescent="0.3">
      <c r="F746" s="101"/>
      <c r="G746" s="101"/>
      <c r="H746" s="101"/>
      <c r="I746" s="101"/>
    </row>
    <row r="747" spans="6:9" x14ac:dyDescent="0.3">
      <c r="F747" s="101"/>
      <c r="G747" s="101"/>
      <c r="H747" s="101"/>
      <c r="I747" s="101"/>
    </row>
    <row r="748" spans="6:9" x14ac:dyDescent="0.3">
      <c r="F748" s="101"/>
      <c r="G748" s="101"/>
      <c r="H748" s="101"/>
      <c r="I748" s="101"/>
    </row>
    <row r="749" spans="6:9" x14ac:dyDescent="0.3">
      <c r="F749" s="101"/>
      <c r="G749" s="101"/>
      <c r="H749" s="101"/>
      <c r="I749" s="101"/>
    </row>
    <row r="750" spans="6:9" x14ac:dyDescent="0.3">
      <c r="F750" s="101"/>
      <c r="G750" s="101"/>
      <c r="H750" s="101"/>
      <c r="I750" s="101"/>
    </row>
    <row r="751" spans="6:9" x14ac:dyDescent="0.3">
      <c r="F751" s="101"/>
      <c r="G751" s="101"/>
      <c r="H751" s="101"/>
      <c r="I751" s="101"/>
    </row>
    <row r="752" spans="6:9" x14ac:dyDescent="0.3">
      <c r="F752" s="101"/>
      <c r="G752" s="101"/>
      <c r="H752" s="101"/>
      <c r="I752" s="101"/>
    </row>
    <row r="753" spans="6:9" x14ac:dyDescent="0.3">
      <c r="F753" s="101"/>
      <c r="G753" s="101"/>
      <c r="H753" s="101"/>
      <c r="I753" s="101"/>
    </row>
    <row r="754" spans="6:9" x14ac:dyDescent="0.3">
      <c r="F754" s="101"/>
      <c r="G754" s="101"/>
      <c r="H754" s="101"/>
      <c r="I754" s="101"/>
    </row>
    <row r="755" spans="6:9" x14ac:dyDescent="0.3">
      <c r="F755" s="101"/>
      <c r="G755" s="101"/>
      <c r="H755" s="101"/>
      <c r="I755" s="101"/>
    </row>
    <row r="756" spans="6:9" x14ac:dyDescent="0.3">
      <c r="F756" s="101"/>
      <c r="G756" s="101"/>
      <c r="H756" s="101"/>
      <c r="I756" s="101"/>
    </row>
    <row r="757" spans="6:9" x14ac:dyDescent="0.3">
      <c r="F757" s="101"/>
      <c r="G757" s="101"/>
      <c r="H757" s="101"/>
      <c r="I757" s="101"/>
    </row>
    <row r="758" spans="6:9" x14ac:dyDescent="0.3">
      <c r="F758" s="101"/>
      <c r="G758" s="101"/>
      <c r="H758" s="101"/>
      <c r="I758" s="101"/>
    </row>
    <row r="759" spans="6:9" x14ac:dyDescent="0.3">
      <c r="F759" s="101"/>
      <c r="G759" s="101"/>
      <c r="H759" s="101"/>
      <c r="I759" s="101"/>
    </row>
    <row r="760" spans="6:9" x14ac:dyDescent="0.3">
      <c r="F760" s="101"/>
      <c r="G760" s="101"/>
      <c r="H760" s="101"/>
      <c r="I760" s="101"/>
    </row>
    <row r="761" spans="6:9" x14ac:dyDescent="0.3">
      <c r="F761" s="101"/>
      <c r="G761" s="101"/>
      <c r="H761" s="101"/>
      <c r="I761" s="101"/>
    </row>
    <row r="762" spans="6:9" x14ac:dyDescent="0.3">
      <c r="F762" s="101"/>
      <c r="G762" s="101"/>
      <c r="H762" s="101"/>
      <c r="I762" s="101"/>
    </row>
    <row r="763" spans="6:9" x14ac:dyDescent="0.3">
      <c r="F763" s="101"/>
      <c r="G763" s="101"/>
      <c r="H763" s="101"/>
      <c r="I763" s="101"/>
    </row>
    <row r="764" spans="6:9" x14ac:dyDescent="0.3">
      <c r="F764" s="101"/>
      <c r="G764" s="101"/>
      <c r="H764" s="101"/>
      <c r="I764" s="101"/>
    </row>
    <row r="765" spans="6:9" x14ac:dyDescent="0.3">
      <c r="F765" s="101"/>
      <c r="G765" s="101"/>
      <c r="H765" s="101"/>
      <c r="I765" s="101"/>
    </row>
    <row r="766" spans="6:9" x14ac:dyDescent="0.3">
      <c r="F766" s="101"/>
      <c r="G766" s="101"/>
      <c r="H766" s="101"/>
      <c r="I766" s="101"/>
    </row>
    <row r="767" spans="6:9" x14ac:dyDescent="0.3">
      <c r="F767" s="101"/>
      <c r="G767" s="101"/>
      <c r="H767" s="101"/>
      <c r="I767" s="101"/>
    </row>
    <row r="768" spans="6:9" x14ac:dyDescent="0.3">
      <c r="F768" s="101"/>
      <c r="G768" s="101"/>
      <c r="H768" s="101"/>
      <c r="I768" s="101"/>
    </row>
    <row r="769" spans="6:9" x14ac:dyDescent="0.3">
      <c r="F769" s="101"/>
      <c r="G769" s="101"/>
      <c r="H769" s="101"/>
      <c r="I769" s="101"/>
    </row>
    <row r="770" spans="6:9" x14ac:dyDescent="0.3">
      <c r="F770" s="101"/>
      <c r="G770" s="101"/>
      <c r="H770" s="101"/>
      <c r="I770" s="101"/>
    </row>
    <row r="771" spans="6:9" x14ac:dyDescent="0.3">
      <c r="F771" s="101"/>
      <c r="G771" s="101"/>
      <c r="H771" s="101"/>
      <c r="I771" s="101"/>
    </row>
    <row r="772" spans="6:9" x14ac:dyDescent="0.3">
      <c r="F772" s="101"/>
      <c r="G772" s="101"/>
      <c r="H772" s="101"/>
      <c r="I772" s="101"/>
    </row>
    <row r="773" spans="6:9" x14ac:dyDescent="0.3">
      <c r="F773" s="101"/>
      <c r="G773" s="101"/>
      <c r="H773" s="101"/>
      <c r="I773" s="101"/>
    </row>
    <row r="774" spans="6:9" x14ac:dyDescent="0.3">
      <c r="F774" s="101"/>
      <c r="G774" s="101"/>
      <c r="H774" s="101"/>
      <c r="I774" s="101"/>
    </row>
    <row r="775" spans="6:9" x14ac:dyDescent="0.3">
      <c r="F775" s="101"/>
      <c r="G775" s="101"/>
      <c r="H775" s="101"/>
      <c r="I775" s="101"/>
    </row>
    <row r="776" spans="6:9" x14ac:dyDescent="0.3">
      <c r="F776" s="101"/>
      <c r="G776" s="101"/>
      <c r="H776" s="101"/>
      <c r="I776" s="101"/>
    </row>
    <row r="777" spans="6:9" x14ac:dyDescent="0.3">
      <c r="F777" s="101"/>
      <c r="G777" s="101"/>
      <c r="H777" s="101"/>
      <c r="I777" s="101"/>
    </row>
    <row r="778" spans="6:9" x14ac:dyDescent="0.3">
      <c r="F778" s="101"/>
      <c r="G778" s="101"/>
      <c r="H778" s="101"/>
      <c r="I778" s="101"/>
    </row>
    <row r="779" spans="6:9" x14ac:dyDescent="0.3">
      <c r="F779" s="101"/>
      <c r="G779" s="101"/>
      <c r="H779" s="101"/>
      <c r="I779" s="101"/>
    </row>
    <row r="780" spans="6:9" x14ac:dyDescent="0.3">
      <c r="F780" s="101"/>
      <c r="G780" s="101"/>
      <c r="H780" s="101"/>
      <c r="I780" s="101"/>
    </row>
    <row r="781" spans="6:9" x14ac:dyDescent="0.3">
      <c r="F781" s="101"/>
      <c r="G781" s="101"/>
      <c r="H781" s="101"/>
      <c r="I781" s="101"/>
    </row>
    <row r="782" spans="6:9" x14ac:dyDescent="0.3">
      <c r="F782" s="101"/>
      <c r="G782" s="101"/>
      <c r="H782" s="101"/>
      <c r="I782" s="101"/>
    </row>
    <row r="783" spans="6:9" x14ac:dyDescent="0.3">
      <c r="F783" s="101"/>
      <c r="G783" s="101"/>
      <c r="H783" s="101"/>
      <c r="I783" s="101"/>
    </row>
    <row r="784" spans="6:9" x14ac:dyDescent="0.3">
      <c r="F784" s="101"/>
      <c r="G784" s="101"/>
      <c r="H784" s="101"/>
      <c r="I784" s="101"/>
    </row>
    <row r="785" spans="6:9" x14ac:dyDescent="0.3">
      <c r="F785" s="101"/>
      <c r="G785" s="101"/>
      <c r="H785" s="101"/>
      <c r="I785" s="101"/>
    </row>
    <row r="786" spans="6:9" x14ac:dyDescent="0.3">
      <c r="F786" s="101"/>
      <c r="G786" s="101"/>
      <c r="H786" s="101"/>
      <c r="I786" s="101"/>
    </row>
    <row r="787" spans="6:9" x14ac:dyDescent="0.3">
      <c r="F787" s="101"/>
      <c r="G787" s="101"/>
      <c r="H787" s="101"/>
      <c r="I787" s="101"/>
    </row>
    <row r="788" spans="6:9" x14ac:dyDescent="0.3">
      <c r="F788" s="101"/>
      <c r="G788" s="101"/>
      <c r="H788" s="101"/>
      <c r="I788" s="101"/>
    </row>
    <row r="789" spans="6:9" x14ac:dyDescent="0.3">
      <c r="F789" s="101"/>
      <c r="G789" s="101"/>
      <c r="H789" s="101"/>
      <c r="I789" s="101"/>
    </row>
    <row r="790" spans="6:9" x14ac:dyDescent="0.3">
      <c r="F790" s="101"/>
      <c r="G790" s="101"/>
      <c r="H790" s="101"/>
      <c r="I790" s="101"/>
    </row>
    <row r="791" spans="6:9" x14ac:dyDescent="0.3">
      <c r="F791" s="101"/>
      <c r="G791" s="101"/>
      <c r="H791" s="101"/>
      <c r="I791" s="101"/>
    </row>
    <row r="792" spans="6:9" x14ac:dyDescent="0.3">
      <c r="F792" s="101"/>
      <c r="G792" s="101"/>
      <c r="H792" s="101"/>
      <c r="I792" s="101"/>
    </row>
    <row r="793" spans="6:9" x14ac:dyDescent="0.3">
      <c r="F793" s="101"/>
      <c r="G793" s="101"/>
      <c r="H793" s="101"/>
      <c r="I793" s="101"/>
    </row>
    <row r="794" spans="6:9" x14ac:dyDescent="0.3">
      <c r="F794" s="101"/>
      <c r="G794" s="101"/>
      <c r="H794" s="101"/>
      <c r="I794" s="101"/>
    </row>
    <row r="795" spans="6:9" x14ac:dyDescent="0.3">
      <c r="F795" s="101"/>
      <c r="G795" s="101"/>
      <c r="H795" s="101"/>
      <c r="I795" s="101"/>
    </row>
    <row r="796" spans="6:9" x14ac:dyDescent="0.3">
      <c r="F796" s="101"/>
      <c r="G796" s="101"/>
      <c r="H796" s="101"/>
      <c r="I796" s="101"/>
    </row>
    <row r="797" spans="6:9" x14ac:dyDescent="0.3">
      <c r="F797" s="101"/>
      <c r="G797" s="101"/>
      <c r="H797" s="101"/>
      <c r="I797" s="101"/>
    </row>
    <row r="798" spans="6:9" x14ac:dyDescent="0.3">
      <c r="F798" s="101"/>
      <c r="G798" s="101"/>
      <c r="H798" s="101"/>
      <c r="I798" s="101"/>
    </row>
    <row r="799" spans="6:9" x14ac:dyDescent="0.3">
      <c r="F799" s="101"/>
      <c r="G799" s="101"/>
      <c r="H799" s="101"/>
      <c r="I799" s="101"/>
    </row>
    <row r="800" spans="6:9" x14ac:dyDescent="0.3">
      <c r="F800" s="101"/>
      <c r="G800" s="101"/>
      <c r="H800" s="101"/>
      <c r="I800" s="101"/>
    </row>
    <row r="801" spans="6:9" x14ac:dyDescent="0.3">
      <c r="F801" s="101"/>
      <c r="G801" s="101"/>
      <c r="H801" s="101"/>
      <c r="I801" s="101"/>
    </row>
    <row r="802" spans="6:9" x14ac:dyDescent="0.3">
      <c r="F802" s="101"/>
      <c r="G802" s="101"/>
      <c r="H802" s="101"/>
      <c r="I802" s="101"/>
    </row>
    <row r="803" spans="6:9" x14ac:dyDescent="0.3">
      <c r="F803" s="101"/>
      <c r="G803" s="101"/>
      <c r="H803" s="101"/>
      <c r="I803" s="101"/>
    </row>
    <row r="804" spans="6:9" x14ac:dyDescent="0.3">
      <c r="F804" s="101"/>
      <c r="G804" s="101"/>
      <c r="H804" s="101"/>
      <c r="I804" s="101"/>
    </row>
    <row r="805" spans="6:9" x14ac:dyDescent="0.3">
      <c r="F805" s="101"/>
      <c r="G805" s="101"/>
      <c r="H805" s="101"/>
      <c r="I805" s="101"/>
    </row>
    <row r="806" spans="6:9" x14ac:dyDescent="0.3">
      <c r="F806" s="101"/>
      <c r="G806" s="101"/>
      <c r="H806" s="101"/>
      <c r="I806" s="101"/>
    </row>
    <row r="807" spans="6:9" x14ac:dyDescent="0.3">
      <c r="F807" s="101"/>
      <c r="G807" s="101"/>
      <c r="H807" s="101"/>
      <c r="I807" s="101"/>
    </row>
    <row r="808" spans="6:9" x14ac:dyDescent="0.3">
      <c r="F808" s="101"/>
      <c r="G808" s="101"/>
      <c r="H808" s="101"/>
      <c r="I808" s="101"/>
    </row>
    <row r="809" spans="6:9" x14ac:dyDescent="0.3">
      <c r="F809" s="101"/>
      <c r="G809" s="101"/>
      <c r="H809" s="101"/>
      <c r="I809" s="101"/>
    </row>
    <row r="810" spans="6:9" x14ac:dyDescent="0.3">
      <c r="F810" s="101"/>
      <c r="G810" s="101"/>
      <c r="H810" s="101"/>
      <c r="I810" s="101"/>
    </row>
    <row r="811" spans="6:9" x14ac:dyDescent="0.3">
      <c r="F811" s="101"/>
      <c r="G811" s="101"/>
      <c r="H811" s="101"/>
      <c r="I811" s="101"/>
    </row>
    <row r="812" spans="6:9" x14ac:dyDescent="0.3">
      <c r="F812" s="101"/>
      <c r="G812" s="101"/>
      <c r="H812" s="101"/>
      <c r="I812" s="101"/>
    </row>
    <row r="813" spans="6:9" x14ac:dyDescent="0.3">
      <c r="F813" s="101"/>
      <c r="G813" s="101"/>
      <c r="H813" s="101"/>
      <c r="I813" s="101"/>
    </row>
    <row r="814" spans="6:9" x14ac:dyDescent="0.3">
      <c r="F814" s="101"/>
      <c r="G814" s="101"/>
      <c r="H814" s="101"/>
      <c r="I814" s="101"/>
    </row>
    <row r="815" spans="6:9" x14ac:dyDescent="0.3">
      <c r="F815" s="101"/>
      <c r="G815" s="101"/>
      <c r="H815" s="101"/>
      <c r="I815" s="101"/>
    </row>
    <row r="816" spans="6:9" x14ac:dyDescent="0.3">
      <c r="F816" s="101"/>
      <c r="G816" s="101"/>
      <c r="H816" s="101"/>
      <c r="I816" s="101"/>
    </row>
    <row r="817" spans="6:9" x14ac:dyDescent="0.3">
      <c r="F817" s="101"/>
      <c r="G817" s="101"/>
      <c r="H817" s="101"/>
      <c r="I817" s="101"/>
    </row>
    <row r="818" spans="6:9" x14ac:dyDescent="0.3">
      <c r="F818" s="101"/>
      <c r="G818" s="101"/>
      <c r="H818" s="101"/>
      <c r="I818" s="101"/>
    </row>
    <row r="819" spans="6:9" x14ac:dyDescent="0.3">
      <c r="F819" s="101"/>
      <c r="G819" s="101"/>
      <c r="H819" s="101"/>
      <c r="I819" s="101"/>
    </row>
    <row r="820" spans="6:9" x14ac:dyDescent="0.3">
      <c r="F820" s="101"/>
      <c r="G820" s="101"/>
      <c r="H820" s="101"/>
      <c r="I820" s="101"/>
    </row>
    <row r="821" spans="6:9" x14ac:dyDescent="0.3">
      <c r="F821" s="101"/>
      <c r="G821" s="101"/>
      <c r="H821" s="101"/>
      <c r="I821" s="101"/>
    </row>
    <row r="822" spans="6:9" x14ac:dyDescent="0.3">
      <c r="F822" s="101"/>
      <c r="G822" s="101"/>
      <c r="H822" s="101"/>
      <c r="I822" s="101"/>
    </row>
    <row r="823" spans="6:9" x14ac:dyDescent="0.3">
      <c r="F823" s="101"/>
      <c r="G823" s="101"/>
      <c r="H823" s="101"/>
      <c r="I823" s="101"/>
    </row>
    <row r="824" spans="6:9" x14ac:dyDescent="0.3">
      <c r="F824" s="101"/>
      <c r="G824" s="101"/>
      <c r="H824" s="101"/>
      <c r="I824" s="101"/>
    </row>
    <row r="825" spans="6:9" x14ac:dyDescent="0.3">
      <c r="F825" s="101"/>
      <c r="G825" s="101"/>
      <c r="H825" s="101"/>
      <c r="I825" s="101"/>
    </row>
    <row r="826" spans="6:9" x14ac:dyDescent="0.3">
      <c r="F826" s="101"/>
      <c r="G826" s="101"/>
      <c r="H826" s="101"/>
      <c r="I826" s="101"/>
    </row>
    <row r="827" spans="6:9" x14ac:dyDescent="0.3">
      <c r="F827" s="101"/>
      <c r="G827" s="101"/>
      <c r="H827" s="101"/>
      <c r="I827" s="101"/>
    </row>
    <row r="828" spans="6:9" x14ac:dyDescent="0.3">
      <c r="F828" s="101"/>
      <c r="G828" s="101"/>
      <c r="H828" s="101"/>
      <c r="I828" s="101"/>
    </row>
    <row r="829" spans="6:9" x14ac:dyDescent="0.3">
      <c r="F829" s="101"/>
      <c r="G829" s="101"/>
      <c r="H829" s="101"/>
      <c r="I829" s="101"/>
    </row>
    <row r="830" spans="6:9" x14ac:dyDescent="0.3">
      <c r="F830" s="101"/>
      <c r="G830" s="101"/>
      <c r="H830" s="101"/>
      <c r="I830" s="101"/>
    </row>
    <row r="831" spans="6:9" x14ac:dyDescent="0.3">
      <c r="F831" s="101"/>
      <c r="G831" s="101"/>
      <c r="H831" s="101"/>
      <c r="I831" s="101"/>
    </row>
    <row r="832" spans="6:9" x14ac:dyDescent="0.3">
      <c r="F832" s="101"/>
      <c r="G832" s="101"/>
      <c r="H832" s="101"/>
      <c r="I832" s="101"/>
    </row>
    <row r="833" spans="6:9" x14ac:dyDescent="0.3">
      <c r="F833" s="101"/>
      <c r="G833" s="101"/>
      <c r="H833" s="101"/>
      <c r="I833" s="101"/>
    </row>
    <row r="834" spans="6:9" x14ac:dyDescent="0.3">
      <c r="F834" s="101"/>
      <c r="G834" s="101"/>
      <c r="H834" s="101"/>
      <c r="I834" s="101"/>
    </row>
    <row r="835" spans="6:9" x14ac:dyDescent="0.3">
      <c r="F835" s="101"/>
      <c r="G835" s="101"/>
      <c r="H835" s="101"/>
      <c r="I835" s="101"/>
    </row>
    <row r="836" spans="6:9" x14ac:dyDescent="0.3">
      <c r="F836" s="101"/>
      <c r="G836" s="101"/>
      <c r="H836" s="101"/>
      <c r="I836" s="101"/>
    </row>
    <row r="837" spans="6:9" x14ac:dyDescent="0.3">
      <c r="F837" s="101"/>
      <c r="G837" s="101"/>
      <c r="H837" s="101"/>
      <c r="I837" s="101"/>
    </row>
    <row r="838" spans="6:9" x14ac:dyDescent="0.3">
      <c r="F838" s="101"/>
      <c r="G838" s="101"/>
      <c r="H838" s="101"/>
      <c r="I838" s="101"/>
    </row>
    <row r="839" spans="6:9" x14ac:dyDescent="0.3">
      <c r="F839" s="101"/>
      <c r="G839" s="101"/>
      <c r="H839" s="101"/>
      <c r="I839" s="101"/>
    </row>
    <row r="840" spans="6:9" x14ac:dyDescent="0.3">
      <c r="F840" s="101"/>
      <c r="G840" s="101"/>
      <c r="H840" s="101"/>
      <c r="I840" s="101"/>
    </row>
    <row r="841" spans="6:9" x14ac:dyDescent="0.3">
      <c r="F841" s="101"/>
      <c r="G841" s="101"/>
      <c r="H841" s="101"/>
      <c r="I841" s="101"/>
    </row>
    <row r="842" spans="6:9" x14ac:dyDescent="0.3">
      <c r="F842" s="101"/>
      <c r="G842" s="101"/>
      <c r="H842" s="101"/>
      <c r="I842" s="101"/>
    </row>
    <row r="843" spans="6:9" x14ac:dyDescent="0.3">
      <c r="F843" s="101"/>
      <c r="G843" s="101"/>
      <c r="H843" s="101"/>
      <c r="I843" s="101"/>
    </row>
    <row r="844" spans="6:9" x14ac:dyDescent="0.3">
      <c r="F844" s="101"/>
      <c r="G844" s="101"/>
      <c r="H844" s="101"/>
      <c r="I844" s="101"/>
    </row>
    <row r="845" spans="6:9" x14ac:dyDescent="0.3">
      <c r="F845" s="101"/>
      <c r="G845" s="101"/>
      <c r="H845" s="101"/>
      <c r="I845" s="101"/>
    </row>
    <row r="846" spans="6:9" x14ac:dyDescent="0.3">
      <c r="F846" s="101"/>
      <c r="G846" s="101"/>
      <c r="H846" s="101"/>
      <c r="I846" s="101"/>
    </row>
    <row r="847" spans="6:9" x14ac:dyDescent="0.3">
      <c r="F847" s="101"/>
      <c r="G847" s="101"/>
      <c r="H847" s="101"/>
      <c r="I847" s="101"/>
    </row>
    <row r="848" spans="6:9" x14ac:dyDescent="0.3">
      <c r="F848" s="101"/>
      <c r="G848" s="101"/>
      <c r="H848" s="101"/>
      <c r="I848" s="101"/>
    </row>
    <row r="849" spans="6:9" x14ac:dyDescent="0.3">
      <c r="F849" s="101"/>
      <c r="G849" s="101"/>
      <c r="H849" s="101"/>
      <c r="I849" s="101"/>
    </row>
    <row r="850" spans="6:9" x14ac:dyDescent="0.3">
      <c r="F850" s="101"/>
      <c r="G850" s="101"/>
      <c r="H850" s="101"/>
      <c r="I850" s="101"/>
    </row>
    <row r="851" spans="6:9" x14ac:dyDescent="0.3">
      <c r="F851" s="101"/>
      <c r="G851" s="101"/>
      <c r="H851" s="101"/>
      <c r="I851" s="101"/>
    </row>
    <row r="852" spans="6:9" x14ac:dyDescent="0.3">
      <c r="F852" s="101"/>
      <c r="G852" s="101"/>
      <c r="H852" s="101"/>
      <c r="I852" s="101"/>
    </row>
    <row r="853" spans="6:9" x14ac:dyDescent="0.3">
      <c r="F853" s="101"/>
      <c r="G853" s="101"/>
      <c r="H853" s="101"/>
      <c r="I853" s="101"/>
    </row>
    <row r="854" spans="6:9" x14ac:dyDescent="0.3">
      <c r="F854" s="101"/>
      <c r="G854" s="101"/>
      <c r="H854" s="101"/>
      <c r="I854" s="101"/>
    </row>
    <row r="855" spans="6:9" x14ac:dyDescent="0.3">
      <c r="F855" s="101"/>
      <c r="G855" s="101"/>
      <c r="H855" s="101"/>
      <c r="I855" s="101"/>
    </row>
    <row r="856" spans="6:9" x14ac:dyDescent="0.3">
      <c r="F856" s="101"/>
      <c r="G856" s="101"/>
      <c r="H856" s="101"/>
      <c r="I856" s="101"/>
    </row>
    <row r="857" spans="6:9" x14ac:dyDescent="0.3">
      <c r="F857" s="101"/>
      <c r="G857" s="101"/>
      <c r="H857" s="101"/>
      <c r="I857" s="101"/>
    </row>
    <row r="858" spans="6:9" x14ac:dyDescent="0.3">
      <c r="F858" s="101"/>
      <c r="G858" s="101"/>
      <c r="H858" s="101"/>
      <c r="I858" s="101"/>
    </row>
    <row r="859" spans="6:9" x14ac:dyDescent="0.3">
      <c r="F859" s="101"/>
      <c r="G859" s="101"/>
      <c r="H859" s="101"/>
      <c r="I859" s="101"/>
    </row>
    <row r="860" spans="6:9" x14ac:dyDescent="0.3">
      <c r="F860" s="101"/>
      <c r="G860" s="101"/>
      <c r="H860" s="101"/>
      <c r="I860" s="101"/>
    </row>
    <row r="861" spans="6:9" x14ac:dyDescent="0.3">
      <c r="F861" s="101"/>
      <c r="G861" s="101"/>
      <c r="H861" s="101"/>
      <c r="I861" s="101"/>
    </row>
    <row r="862" spans="6:9" x14ac:dyDescent="0.3">
      <c r="F862" s="101"/>
      <c r="G862" s="101"/>
      <c r="H862" s="101"/>
      <c r="I862" s="101"/>
    </row>
    <row r="863" spans="6:9" x14ac:dyDescent="0.3">
      <c r="F863" s="101"/>
      <c r="G863" s="101"/>
      <c r="H863" s="101"/>
      <c r="I863" s="101"/>
    </row>
    <row r="864" spans="6:9" x14ac:dyDescent="0.3">
      <c r="F864" s="101"/>
      <c r="G864" s="101"/>
      <c r="H864" s="101"/>
      <c r="I864" s="101"/>
    </row>
    <row r="865" spans="6:9" x14ac:dyDescent="0.3">
      <c r="F865" s="101"/>
      <c r="G865" s="101"/>
      <c r="H865" s="101"/>
      <c r="I865" s="101"/>
    </row>
    <row r="866" spans="6:9" x14ac:dyDescent="0.3">
      <c r="F866" s="101"/>
      <c r="G866" s="101"/>
      <c r="H866" s="101"/>
      <c r="I866" s="101"/>
    </row>
    <row r="867" spans="6:9" x14ac:dyDescent="0.3">
      <c r="F867" s="101"/>
      <c r="G867" s="101"/>
      <c r="H867" s="101"/>
      <c r="I867" s="101"/>
    </row>
    <row r="868" spans="6:9" x14ac:dyDescent="0.3">
      <c r="F868" s="101"/>
      <c r="G868" s="101"/>
      <c r="H868" s="101"/>
      <c r="I868" s="101"/>
    </row>
    <row r="869" spans="6:9" x14ac:dyDescent="0.3">
      <c r="F869" s="101"/>
      <c r="G869" s="101"/>
      <c r="H869" s="101"/>
      <c r="I869" s="101"/>
    </row>
    <row r="870" spans="6:9" x14ac:dyDescent="0.3">
      <c r="F870" s="101"/>
      <c r="G870" s="101"/>
      <c r="H870" s="101"/>
      <c r="I870" s="101"/>
    </row>
    <row r="871" spans="6:9" x14ac:dyDescent="0.3">
      <c r="F871" s="101"/>
      <c r="G871" s="101"/>
      <c r="H871" s="101"/>
      <c r="I871" s="101"/>
    </row>
    <row r="872" spans="6:9" x14ac:dyDescent="0.3">
      <c r="F872" s="101"/>
      <c r="G872" s="101"/>
      <c r="H872" s="101"/>
      <c r="I872" s="101"/>
    </row>
    <row r="873" spans="6:9" x14ac:dyDescent="0.3">
      <c r="F873" s="101"/>
      <c r="G873" s="101"/>
      <c r="H873" s="101"/>
      <c r="I873" s="101"/>
    </row>
    <row r="874" spans="6:9" x14ac:dyDescent="0.3">
      <c r="F874" s="101"/>
      <c r="G874" s="101"/>
      <c r="H874" s="101"/>
      <c r="I874" s="101"/>
    </row>
    <row r="875" spans="6:9" x14ac:dyDescent="0.3">
      <c r="F875" s="101"/>
      <c r="G875" s="101"/>
      <c r="H875" s="101"/>
      <c r="I875" s="101"/>
    </row>
    <row r="876" spans="6:9" x14ac:dyDescent="0.3">
      <c r="F876" s="101"/>
      <c r="G876" s="101"/>
      <c r="H876" s="101"/>
      <c r="I876" s="101"/>
    </row>
    <row r="877" spans="6:9" x14ac:dyDescent="0.3">
      <c r="F877" s="101"/>
      <c r="G877" s="101"/>
      <c r="H877" s="101"/>
      <c r="I877" s="101"/>
    </row>
    <row r="878" spans="6:9" x14ac:dyDescent="0.3">
      <c r="F878" s="101"/>
      <c r="G878" s="101"/>
      <c r="H878" s="101"/>
      <c r="I878" s="101"/>
    </row>
    <row r="879" spans="6:9" x14ac:dyDescent="0.3">
      <c r="F879" s="101"/>
      <c r="G879" s="101"/>
      <c r="H879" s="101"/>
      <c r="I879" s="101"/>
    </row>
    <row r="880" spans="6:9" x14ac:dyDescent="0.3">
      <c r="F880" s="101"/>
      <c r="G880" s="101"/>
      <c r="H880" s="101"/>
      <c r="I880" s="101"/>
    </row>
    <row r="881" spans="6:9" x14ac:dyDescent="0.3">
      <c r="F881" s="101"/>
      <c r="G881" s="101"/>
      <c r="H881" s="101"/>
      <c r="I881" s="101"/>
    </row>
    <row r="882" spans="6:9" x14ac:dyDescent="0.3">
      <c r="F882" s="101"/>
      <c r="G882" s="101"/>
      <c r="H882" s="101"/>
      <c r="I882" s="101"/>
    </row>
    <row r="883" spans="6:9" x14ac:dyDescent="0.3">
      <c r="F883" s="101"/>
      <c r="G883" s="101"/>
      <c r="H883" s="101"/>
      <c r="I883" s="101"/>
    </row>
    <row r="884" spans="6:9" x14ac:dyDescent="0.3">
      <c r="F884" s="101"/>
      <c r="G884" s="101"/>
      <c r="H884" s="101"/>
      <c r="I884" s="101"/>
    </row>
    <row r="885" spans="6:9" x14ac:dyDescent="0.3">
      <c r="F885" s="101"/>
      <c r="G885" s="101"/>
      <c r="H885" s="101"/>
      <c r="I885" s="101"/>
    </row>
    <row r="886" spans="6:9" x14ac:dyDescent="0.3">
      <c r="F886" s="101"/>
      <c r="G886" s="101"/>
      <c r="H886" s="101"/>
      <c r="I886" s="101"/>
    </row>
    <row r="887" spans="6:9" x14ac:dyDescent="0.3">
      <c r="F887" s="101"/>
      <c r="G887" s="101"/>
      <c r="H887" s="101"/>
      <c r="I887" s="101"/>
    </row>
    <row r="888" spans="6:9" x14ac:dyDescent="0.3">
      <c r="F888" s="101"/>
      <c r="G888" s="101"/>
      <c r="H888" s="101"/>
      <c r="I888" s="101"/>
    </row>
    <row r="889" spans="6:9" x14ac:dyDescent="0.3">
      <c r="F889" s="101"/>
      <c r="G889" s="101"/>
      <c r="H889" s="101"/>
      <c r="I889" s="101"/>
    </row>
    <row r="890" spans="6:9" x14ac:dyDescent="0.3">
      <c r="F890" s="101"/>
      <c r="G890" s="101"/>
      <c r="H890" s="101"/>
      <c r="I890" s="101"/>
    </row>
    <row r="891" spans="6:9" x14ac:dyDescent="0.3">
      <c r="F891" s="101"/>
      <c r="G891" s="101"/>
      <c r="H891" s="101"/>
      <c r="I891" s="101"/>
    </row>
    <row r="892" spans="6:9" x14ac:dyDescent="0.3">
      <c r="F892" s="101"/>
      <c r="G892" s="101"/>
      <c r="H892" s="101"/>
      <c r="I892" s="101"/>
    </row>
    <row r="893" spans="6:9" x14ac:dyDescent="0.3">
      <c r="F893" s="101"/>
      <c r="G893" s="101"/>
      <c r="H893" s="101"/>
      <c r="I893" s="101"/>
    </row>
    <row r="894" spans="6:9" x14ac:dyDescent="0.3">
      <c r="F894" s="101"/>
      <c r="G894" s="101"/>
      <c r="H894" s="101"/>
      <c r="I894" s="101"/>
    </row>
    <row r="895" spans="6:9" x14ac:dyDescent="0.3">
      <c r="F895" s="101"/>
      <c r="G895" s="101"/>
      <c r="H895" s="101"/>
      <c r="I895" s="101"/>
    </row>
    <row r="896" spans="6:9" x14ac:dyDescent="0.3">
      <c r="F896" s="101"/>
      <c r="G896" s="101"/>
      <c r="H896" s="101"/>
      <c r="I896" s="101"/>
    </row>
    <row r="897" spans="6:9" x14ac:dyDescent="0.3">
      <c r="F897" s="101"/>
      <c r="G897" s="101"/>
      <c r="H897" s="101"/>
      <c r="I897" s="101"/>
    </row>
    <row r="898" spans="6:9" x14ac:dyDescent="0.3">
      <c r="F898" s="101"/>
      <c r="G898" s="101"/>
      <c r="H898" s="101"/>
      <c r="I898" s="101"/>
    </row>
    <row r="899" spans="6:9" x14ac:dyDescent="0.3">
      <c r="F899" s="101"/>
      <c r="G899" s="101"/>
      <c r="H899" s="101"/>
      <c r="I899" s="101"/>
    </row>
    <row r="900" spans="6:9" x14ac:dyDescent="0.3">
      <c r="F900" s="101"/>
      <c r="G900" s="101"/>
      <c r="H900" s="101"/>
      <c r="I900" s="101"/>
    </row>
    <row r="901" spans="6:9" x14ac:dyDescent="0.3">
      <c r="F901" s="101"/>
      <c r="G901" s="101"/>
      <c r="H901" s="101"/>
      <c r="I901" s="101"/>
    </row>
    <row r="902" spans="6:9" x14ac:dyDescent="0.3">
      <c r="F902" s="101"/>
      <c r="G902" s="101"/>
      <c r="H902" s="101"/>
      <c r="I902" s="101"/>
    </row>
    <row r="903" spans="6:9" x14ac:dyDescent="0.3">
      <c r="F903" s="101"/>
      <c r="G903" s="101"/>
      <c r="H903" s="101"/>
      <c r="I903" s="101"/>
    </row>
    <row r="904" spans="6:9" x14ac:dyDescent="0.3">
      <c r="F904" s="101"/>
      <c r="G904" s="101"/>
      <c r="H904" s="101"/>
      <c r="I904" s="101"/>
    </row>
    <row r="905" spans="6:9" x14ac:dyDescent="0.3">
      <c r="F905" s="101"/>
      <c r="G905" s="101"/>
      <c r="H905" s="101"/>
      <c r="I905" s="101"/>
    </row>
    <row r="906" spans="6:9" x14ac:dyDescent="0.3">
      <c r="F906" s="101"/>
      <c r="G906" s="101"/>
      <c r="H906" s="101"/>
      <c r="I906" s="101"/>
    </row>
  </sheetData>
  <autoFilter ref="B2:M436" xr:uid="{CFD127B8-67AB-4D7F-884D-83F7A4BBD8CA}">
    <filterColumn colId="4" showButton="0"/>
    <filterColumn colId="5" showButton="0"/>
    <filterColumn colId="6" showButton="0"/>
  </autoFilter>
  <dataConsolidate/>
  <mergeCells count="333">
    <mergeCell ref="A432:E432"/>
    <mergeCell ref="A433:E433"/>
    <mergeCell ref="A437:E437"/>
    <mergeCell ref="A421:A428"/>
    <mergeCell ref="B421:B428"/>
    <mergeCell ref="C421:C428"/>
    <mergeCell ref="M421:M428"/>
    <mergeCell ref="A430:E430"/>
    <mergeCell ref="A431:E431"/>
    <mergeCell ref="A400:E400"/>
    <mergeCell ref="A401:E401"/>
    <mergeCell ref="A402:E402"/>
    <mergeCell ref="D417:D420"/>
    <mergeCell ref="M417:M420"/>
    <mergeCell ref="K391:K393"/>
    <mergeCell ref="L391:L393"/>
    <mergeCell ref="A395:E395"/>
    <mergeCell ref="A396:E396"/>
    <mergeCell ref="A397:E397"/>
    <mergeCell ref="A398:E398"/>
    <mergeCell ref="A386:E386"/>
    <mergeCell ref="A387:E387"/>
    <mergeCell ref="A388:E388"/>
    <mergeCell ref="A389:E389"/>
    <mergeCell ref="A391:A392"/>
    <mergeCell ref="B391:B392"/>
    <mergeCell ref="C391:C392"/>
    <mergeCell ref="D391:D392"/>
    <mergeCell ref="A399:E399"/>
    <mergeCell ref="A384:E384"/>
    <mergeCell ref="M371:M372"/>
    <mergeCell ref="A373:A374"/>
    <mergeCell ref="B373:B374"/>
    <mergeCell ref="C373:C374"/>
    <mergeCell ref="M373:M374"/>
    <mergeCell ref="D376:D381"/>
    <mergeCell ref="M376:M381"/>
    <mergeCell ref="A385:E385"/>
    <mergeCell ref="A371:A372"/>
    <mergeCell ref="B371:B372"/>
    <mergeCell ref="C371:C372"/>
    <mergeCell ref="D371:D375"/>
    <mergeCell ref="A382:A383"/>
    <mergeCell ref="B382:B383"/>
    <mergeCell ref="C382:C383"/>
    <mergeCell ref="D382:D383"/>
    <mergeCell ref="M382:M383"/>
    <mergeCell ref="M358:M359"/>
    <mergeCell ref="A364:A365"/>
    <mergeCell ref="B364:B365"/>
    <mergeCell ref="C364:C365"/>
    <mergeCell ref="K364:K365"/>
    <mergeCell ref="L364:L365"/>
    <mergeCell ref="A366:A367"/>
    <mergeCell ref="B366:B367"/>
    <mergeCell ref="C366:C367"/>
    <mergeCell ref="K366:K367"/>
    <mergeCell ref="L366:L367"/>
    <mergeCell ref="A352:A354"/>
    <mergeCell ref="B352:B354"/>
    <mergeCell ref="C352:C354"/>
    <mergeCell ref="D352:D370"/>
    <mergeCell ref="K352:K354"/>
    <mergeCell ref="L352:L354"/>
    <mergeCell ref="A355:A356"/>
    <mergeCell ref="B355:B356"/>
    <mergeCell ref="C355:C356"/>
    <mergeCell ref="K355:K356"/>
    <mergeCell ref="L355:L356"/>
    <mergeCell ref="C358:C359"/>
    <mergeCell ref="K358:K359"/>
    <mergeCell ref="L358:L359"/>
    <mergeCell ref="A347:A348"/>
    <mergeCell ref="B347:B348"/>
    <mergeCell ref="C347:C348"/>
    <mergeCell ref="D347:D348"/>
    <mergeCell ref="M347:M348"/>
    <mergeCell ref="A349:A351"/>
    <mergeCell ref="B349:B351"/>
    <mergeCell ref="C349:C351"/>
    <mergeCell ref="D349:D351"/>
    <mergeCell ref="M341:M343"/>
    <mergeCell ref="A344:A345"/>
    <mergeCell ref="B344:B345"/>
    <mergeCell ref="C344:C345"/>
    <mergeCell ref="D344:D345"/>
    <mergeCell ref="M344:M345"/>
    <mergeCell ref="A339:E339"/>
    <mergeCell ref="A340:E340"/>
    <mergeCell ref="A341:A343"/>
    <mergeCell ref="B341:B343"/>
    <mergeCell ref="C341:C343"/>
    <mergeCell ref="D341:D343"/>
    <mergeCell ref="A333:E333"/>
    <mergeCell ref="A334:E334"/>
    <mergeCell ref="A335:E335"/>
    <mergeCell ref="A336:E336"/>
    <mergeCell ref="A337:E337"/>
    <mergeCell ref="A338:E338"/>
    <mergeCell ref="M323:M324"/>
    <mergeCell ref="A326:E326"/>
    <mergeCell ref="A327:E327"/>
    <mergeCell ref="A328:E328"/>
    <mergeCell ref="A329:E329"/>
    <mergeCell ref="A332:E332"/>
    <mergeCell ref="J313:J314"/>
    <mergeCell ref="K313:K314"/>
    <mergeCell ref="L313:L314"/>
    <mergeCell ref="M313:M314"/>
    <mergeCell ref="A323:A324"/>
    <mergeCell ref="B323:B324"/>
    <mergeCell ref="C323:C324"/>
    <mergeCell ref="D323:D324"/>
    <mergeCell ref="K323:K324"/>
    <mergeCell ref="L323:L324"/>
    <mergeCell ref="A309:E309"/>
    <mergeCell ref="A310:E310"/>
    <mergeCell ref="A311:E311"/>
    <mergeCell ref="A313:A314"/>
    <mergeCell ref="B313:B314"/>
    <mergeCell ref="C313:C314"/>
    <mergeCell ref="D313:D314"/>
    <mergeCell ref="A301:E301"/>
    <mergeCell ref="A304:E304"/>
    <mergeCell ref="A305:E305"/>
    <mergeCell ref="A306:E306"/>
    <mergeCell ref="A307:E307"/>
    <mergeCell ref="A308:E308"/>
    <mergeCell ref="A283:E283"/>
    <mergeCell ref="A284:E284"/>
    <mergeCell ref="A297:E297"/>
    <mergeCell ref="A298:E298"/>
    <mergeCell ref="A299:E299"/>
    <mergeCell ref="A300:E300"/>
    <mergeCell ref="A277:E277"/>
    <mergeCell ref="A278:E278"/>
    <mergeCell ref="A279:E279"/>
    <mergeCell ref="A280:E280"/>
    <mergeCell ref="A281:E281"/>
    <mergeCell ref="A282:E282"/>
    <mergeCell ref="J267:J268"/>
    <mergeCell ref="M267:M268"/>
    <mergeCell ref="A269:A270"/>
    <mergeCell ref="B269:B270"/>
    <mergeCell ref="C269:C270"/>
    <mergeCell ref="D269:D270"/>
    <mergeCell ref="J269:J270"/>
    <mergeCell ref="M269:M270"/>
    <mergeCell ref="A263:E263"/>
    <mergeCell ref="A264:E264"/>
    <mergeCell ref="A265:E265"/>
    <mergeCell ref="A266:E266"/>
    <mergeCell ref="A267:A268"/>
    <mergeCell ref="B267:B268"/>
    <mergeCell ref="C267:C268"/>
    <mergeCell ref="D267:D268"/>
    <mergeCell ref="A257:A259"/>
    <mergeCell ref="B257:B259"/>
    <mergeCell ref="D257:D259"/>
    <mergeCell ref="A260:E260"/>
    <mergeCell ref="A261:E261"/>
    <mergeCell ref="A262:E262"/>
    <mergeCell ref="A239:A241"/>
    <mergeCell ref="B239:B241"/>
    <mergeCell ref="A242:A243"/>
    <mergeCell ref="B242:B243"/>
    <mergeCell ref="D242:D243"/>
    <mergeCell ref="A247:A256"/>
    <mergeCell ref="B247:B256"/>
    <mergeCell ref="D247:D256"/>
    <mergeCell ref="A228:A233"/>
    <mergeCell ref="B228:B233"/>
    <mergeCell ref="D228:D233"/>
    <mergeCell ref="A236:A238"/>
    <mergeCell ref="B236:B238"/>
    <mergeCell ref="D236:D238"/>
    <mergeCell ref="A219:E219"/>
    <mergeCell ref="A220:E220"/>
    <mergeCell ref="A221:A223"/>
    <mergeCell ref="B221:B223"/>
    <mergeCell ref="D221:D223"/>
    <mergeCell ref="A224:A226"/>
    <mergeCell ref="B224:B226"/>
    <mergeCell ref="D224:D226"/>
    <mergeCell ref="A213:E213"/>
    <mergeCell ref="A214:E214"/>
    <mergeCell ref="A215:E215"/>
    <mergeCell ref="A216:E216"/>
    <mergeCell ref="A217:E217"/>
    <mergeCell ref="A218:E218"/>
    <mergeCell ref="K206:K207"/>
    <mergeCell ref="L206:L207"/>
    <mergeCell ref="D208:D209"/>
    <mergeCell ref="K208:K209"/>
    <mergeCell ref="L208:L209"/>
    <mergeCell ref="D210:D211"/>
    <mergeCell ref="K210:K211"/>
    <mergeCell ref="L210:L211"/>
    <mergeCell ref="A196:E196"/>
    <mergeCell ref="A197:E197"/>
    <mergeCell ref="A206:A211"/>
    <mergeCell ref="B206:B211"/>
    <mergeCell ref="C206:C211"/>
    <mergeCell ref="D206:D207"/>
    <mergeCell ref="A180:E180"/>
    <mergeCell ref="A191:E191"/>
    <mergeCell ref="A192:E192"/>
    <mergeCell ref="A193:E193"/>
    <mergeCell ref="A194:E194"/>
    <mergeCell ref="A195:E195"/>
    <mergeCell ref="A175:E175"/>
    <mergeCell ref="A176:E176"/>
    <mergeCell ref="A177:E177"/>
    <mergeCell ref="A178:E178"/>
    <mergeCell ref="A179:E179"/>
    <mergeCell ref="A113:E113"/>
    <mergeCell ref="A114:E114"/>
    <mergeCell ref="A115:E115"/>
    <mergeCell ref="A116:E116"/>
    <mergeCell ref="A117:E117"/>
    <mergeCell ref="A118:E118"/>
    <mergeCell ref="A107:A108"/>
    <mergeCell ref="B107:B108"/>
    <mergeCell ref="C107:C108"/>
    <mergeCell ref="D107:D108"/>
    <mergeCell ref="A109:A110"/>
    <mergeCell ref="B109:B110"/>
    <mergeCell ref="C109:C110"/>
    <mergeCell ref="D109:D110"/>
    <mergeCell ref="A119:E119"/>
    <mergeCell ref="A95:E95"/>
    <mergeCell ref="A96:E96"/>
    <mergeCell ref="A99:A100"/>
    <mergeCell ref="B99:B100"/>
    <mergeCell ref="C99:C100"/>
    <mergeCell ref="D99:D100"/>
    <mergeCell ref="M85:M87"/>
    <mergeCell ref="A89:E89"/>
    <mergeCell ref="A90:E90"/>
    <mergeCell ref="A91:E91"/>
    <mergeCell ref="A92:E92"/>
    <mergeCell ref="A93:E93"/>
    <mergeCell ref="A85:A87"/>
    <mergeCell ref="B85:B87"/>
    <mergeCell ref="C85:C87"/>
    <mergeCell ref="D85:D87"/>
    <mergeCell ref="K85:K87"/>
    <mergeCell ref="L85:L87"/>
    <mergeCell ref="J99:J100"/>
    <mergeCell ref="A82:A83"/>
    <mergeCell ref="B82:B83"/>
    <mergeCell ref="C82:C83"/>
    <mergeCell ref="D82:D83"/>
    <mergeCell ref="J82:J83"/>
    <mergeCell ref="K82:K83"/>
    <mergeCell ref="L82:L83"/>
    <mergeCell ref="M82:M83"/>
    <mergeCell ref="A94:E94"/>
    <mergeCell ref="J78:J79"/>
    <mergeCell ref="K78:K79"/>
    <mergeCell ref="L78:L79"/>
    <mergeCell ref="M78:M79"/>
    <mergeCell ref="A80:A81"/>
    <mergeCell ref="B80:B81"/>
    <mergeCell ref="C80:C81"/>
    <mergeCell ref="D80:D81"/>
    <mergeCell ref="J80:J81"/>
    <mergeCell ref="K80:K81"/>
    <mergeCell ref="L80:L81"/>
    <mergeCell ref="M80:M81"/>
    <mergeCell ref="A72:E72"/>
    <mergeCell ref="A73:E73"/>
    <mergeCell ref="A74:E74"/>
    <mergeCell ref="A75:E75"/>
    <mergeCell ref="A76:E76"/>
    <mergeCell ref="A78:A79"/>
    <mergeCell ref="B78:B79"/>
    <mergeCell ref="C78:C79"/>
    <mergeCell ref="D78:D79"/>
    <mergeCell ref="A57:E57"/>
    <mergeCell ref="A58:E58"/>
    <mergeCell ref="A68:E68"/>
    <mergeCell ref="A69:E69"/>
    <mergeCell ref="A70:E70"/>
    <mergeCell ref="A71:E71"/>
    <mergeCell ref="L49:L50"/>
    <mergeCell ref="K51:K53"/>
    <mergeCell ref="L51:L53"/>
    <mergeCell ref="A54:E54"/>
    <mergeCell ref="A55:E55"/>
    <mergeCell ref="A56:E56"/>
    <mergeCell ref="A43:E43"/>
    <mergeCell ref="A44:E44"/>
    <mergeCell ref="A45:E45"/>
    <mergeCell ref="A46:E46"/>
    <mergeCell ref="A47:E47"/>
    <mergeCell ref="K49:K50"/>
    <mergeCell ref="A35:E35"/>
    <mergeCell ref="A36:E36"/>
    <mergeCell ref="A37:E37"/>
    <mergeCell ref="A38:E38"/>
    <mergeCell ref="A39:E39"/>
    <mergeCell ref="A41:A42"/>
    <mergeCell ref="B41:B42"/>
    <mergeCell ref="C41:C42"/>
    <mergeCell ref="D41:D42"/>
    <mergeCell ref="A16:E16"/>
    <mergeCell ref="A17:E17"/>
    <mergeCell ref="A18:E18"/>
    <mergeCell ref="A19:E19"/>
    <mergeCell ref="A20:E20"/>
    <mergeCell ref="A34:E34"/>
    <mergeCell ref="A10:E10"/>
    <mergeCell ref="A11:E11"/>
    <mergeCell ref="A12:E12"/>
    <mergeCell ref="A13:E13"/>
    <mergeCell ref="A14:E14"/>
    <mergeCell ref="A15:E15"/>
    <mergeCell ref="A4:E4"/>
    <mergeCell ref="A5:E5"/>
    <mergeCell ref="A6:E6"/>
    <mergeCell ref="A7:E7"/>
    <mergeCell ref="A8:E8"/>
    <mergeCell ref="A9:E9"/>
    <mergeCell ref="A1:M1"/>
    <mergeCell ref="A2:A3"/>
    <mergeCell ref="B2:B3"/>
    <mergeCell ref="C2:C3"/>
    <mergeCell ref="D2:D3"/>
    <mergeCell ref="E2:E3"/>
    <mergeCell ref="F2:I2"/>
    <mergeCell ref="J2:J3"/>
    <mergeCell ref="M2:M3"/>
  </mergeCells>
  <pageMargins left="0.70866141732283472" right="0.70866141732283472" top="0.74803149606299213" bottom="0.74803149606299213" header="0.31496062992125984" footer="0.31496062992125984"/>
  <pageSetup paperSize="9" scale="2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27B8-67AB-4D7F-884D-83F7A4BBD8CA}">
  <sheetPr>
    <pageSetUpPr fitToPage="1"/>
  </sheetPr>
  <dimension ref="A1:O776"/>
  <sheetViews>
    <sheetView tabSelected="1" zoomScale="70" zoomScaleNormal="70" workbookViewId="0"/>
  </sheetViews>
  <sheetFormatPr defaultColWidth="9.1796875" defaultRowHeight="13" outlineLevelRow="1" x14ac:dyDescent="0.3"/>
  <cols>
    <col min="1" max="1" width="6.81640625" style="38" bestFit="1" customWidth="1"/>
    <col min="2" max="2" width="16.81640625" style="38" customWidth="1"/>
    <col min="3" max="3" width="34.7265625" style="23" customWidth="1"/>
    <col min="4" max="4" width="30" style="23" customWidth="1"/>
    <col min="5" max="5" width="22.1796875" style="23" customWidth="1"/>
    <col min="6" max="6" width="14" style="100" customWidth="1"/>
    <col min="7" max="9" width="12.81640625" style="100" customWidth="1"/>
    <col min="10" max="10" width="25.7265625" style="23" customWidth="1"/>
    <col min="11" max="11" width="9.1796875" style="23"/>
    <col min="12" max="12" width="11.453125" style="23" bestFit="1" customWidth="1"/>
    <col min="13" max="13" width="12.26953125" style="23" customWidth="1"/>
    <col min="14" max="14" width="10.54296875" style="23" customWidth="1"/>
    <col min="15" max="15" width="10.7265625" style="23" customWidth="1"/>
    <col min="16" max="16384" width="9.1796875" style="23"/>
  </cols>
  <sheetData>
    <row r="1" spans="1:15" customFormat="1" ht="14.5" x14ac:dyDescent="0.35">
      <c r="A1" s="405"/>
      <c r="B1" s="405"/>
      <c r="C1" s="405"/>
      <c r="D1" s="405"/>
      <c r="E1" s="405"/>
      <c r="F1" s="405"/>
      <c r="G1" s="100"/>
      <c r="I1" s="100"/>
      <c r="J1" s="405" t="s">
        <v>1070</v>
      </c>
    </row>
    <row r="2" spans="1:15" customFormat="1" ht="14.5" customHeight="1" x14ac:dyDescent="0.35">
      <c r="A2" s="564" t="s">
        <v>1069</v>
      </c>
      <c r="B2" s="564"/>
      <c r="C2" s="564"/>
      <c r="D2" s="564"/>
      <c r="E2" s="564"/>
      <c r="F2" s="564"/>
      <c r="G2" s="564"/>
      <c r="H2" s="564"/>
      <c r="I2" s="564"/>
      <c r="J2" s="564"/>
    </row>
    <row r="3" spans="1:15" customFormat="1" ht="10.5" customHeight="1" x14ac:dyDescent="0.35">
      <c r="A3" s="406"/>
      <c r="B3" s="406"/>
      <c r="C3" s="406"/>
      <c r="D3" s="406"/>
      <c r="E3" s="406"/>
      <c r="F3" s="406"/>
      <c r="G3" s="406"/>
    </row>
    <row r="4" spans="1:15" ht="28" customHeight="1" x14ac:dyDescent="0.3">
      <c r="A4" s="565" t="s">
        <v>1064</v>
      </c>
      <c r="B4" s="565"/>
      <c r="C4" s="565"/>
      <c r="D4" s="565"/>
      <c r="E4" s="565"/>
      <c r="F4" s="565"/>
      <c r="G4" s="565"/>
      <c r="H4" s="565"/>
      <c r="I4" s="565"/>
      <c r="J4" s="565"/>
    </row>
    <row r="5" spans="1:15" ht="14.5" customHeight="1" x14ac:dyDescent="0.3">
      <c r="A5" s="470" t="s">
        <v>79</v>
      </c>
      <c r="B5" s="470" t="s">
        <v>80</v>
      </c>
      <c r="C5" s="470" t="s">
        <v>81</v>
      </c>
      <c r="D5" s="472" t="s">
        <v>82</v>
      </c>
      <c r="E5" s="472" t="s">
        <v>83</v>
      </c>
      <c r="F5" s="474" t="s">
        <v>84</v>
      </c>
      <c r="G5" s="474"/>
      <c r="H5" s="474"/>
      <c r="I5" s="474"/>
      <c r="J5" s="566" t="s">
        <v>1071</v>
      </c>
    </row>
    <row r="6" spans="1:15" ht="37" customHeight="1" x14ac:dyDescent="0.3">
      <c r="A6" s="471"/>
      <c r="B6" s="471"/>
      <c r="C6" s="471"/>
      <c r="D6" s="473"/>
      <c r="E6" s="473"/>
      <c r="F6" s="150">
        <v>2026</v>
      </c>
      <c r="G6" s="150">
        <v>2027</v>
      </c>
      <c r="H6" s="150">
        <v>2028</v>
      </c>
      <c r="I6" s="150">
        <v>2029</v>
      </c>
      <c r="J6" s="566"/>
    </row>
    <row r="7" spans="1:15" x14ac:dyDescent="0.3">
      <c r="A7" s="457" t="s">
        <v>1017</v>
      </c>
      <c r="B7" s="458"/>
      <c r="C7" s="458"/>
      <c r="D7" s="458"/>
      <c r="E7" s="459"/>
      <c r="F7" s="39">
        <f>F12+F26+F29+F35+F45+F58+F75+F129+F140+F150+F190+F201+F213+F215+F230+F233+F277+F314+F286</f>
        <v>98883902.538000003</v>
      </c>
      <c r="G7" s="39">
        <f>G12+G26+G29+G35+G45+G58+G75+G129+G140+G150+G190+G201+G213+G215+G230+G233+G277+G314+G286</f>
        <v>77982243.538000003</v>
      </c>
      <c r="H7" s="39">
        <f>H12+H26+H29+H35+H45+H58+H75+H129+H140+H150+H190+H201+H213+H215+H230+H233+H277+H314+H286</f>
        <v>79295929.538000003</v>
      </c>
      <c r="I7" s="39">
        <f>I12+I26+I29+I35+I45+I58+I75+I129+I140+I150+I190+I201+I213+I215+I230+I233+I277+I314+I286</f>
        <v>79168550.538000003</v>
      </c>
      <c r="J7" s="1"/>
      <c r="L7" s="408"/>
      <c r="M7" s="408"/>
      <c r="N7" s="408"/>
      <c r="O7" s="408"/>
    </row>
    <row r="8" spans="1:15" x14ac:dyDescent="0.3">
      <c r="A8" s="457" t="s">
        <v>1018</v>
      </c>
      <c r="B8" s="458"/>
      <c r="C8" s="458"/>
      <c r="D8" s="458"/>
      <c r="E8" s="459"/>
      <c r="F8" s="39">
        <f>F319+F321+F323+F325+F327+F330+F332+F338+F340+F9+F317</f>
        <v>1154642</v>
      </c>
      <c r="G8" s="39">
        <f t="shared" ref="G8:I8" si="0">G319+G321+G323+G325+G327+G330+G332+G338+G340+G9+G317</f>
        <v>2500641</v>
      </c>
      <c r="H8" s="39">
        <f t="shared" si="0"/>
        <v>4089353</v>
      </c>
      <c r="I8" s="39">
        <f t="shared" si="0"/>
        <v>4230392</v>
      </c>
      <c r="J8" s="1"/>
      <c r="L8" s="408"/>
      <c r="M8" s="408"/>
      <c r="N8" s="408"/>
      <c r="O8" s="408"/>
    </row>
    <row r="9" spans="1:15" x14ac:dyDescent="0.3">
      <c r="A9" s="457" t="s">
        <v>1091</v>
      </c>
      <c r="B9" s="458"/>
      <c r="C9" s="458"/>
      <c r="D9" s="458"/>
      <c r="E9" s="459"/>
      <c r="F9" s="39">
        <f>F10+F11</f>
        <v>352000</v>
      </c>
      <c r="G9" s="39">
        <f t="shared" ref="G9:I9" si="1">G10+G11</f>
        <v>0</v>
      </c>
      <c r="H9" s="39">
        <f t="shared" si="1"/>
        <v>0</v>
      </c>
      <c r="I9" s="39">
        <f t="shared" si="1"/>
        <v>0</v>
      </c>
      <c r="J9" s="1"/>
      <c r="L9" s="408"/>
      <c r="M9" s="408"/>
      <c r="N9" s="408"/>
      <c r="O9" s="408"/>
    </row>
    <row r="10" spans="1:15" s="6" customFormat="1" ht="91" outlineLevel="1" x14ac:dyDescent="0.35">
      <c r="A10" s="7">
        <v>1</v>
      </c>
      <c r="B10" s="21" t="s">
        <v>14</v>
      </c>
      <c r="C10" s="394" t="s">
        <v>1092</v>
      </c>
      <c r="D10" s="391" t="s">
        <v>1093</v>
      </c>
      <c r="E10" s="391" t="s">
        <v>66</v>
      </c>
      <c r="F10" s="409">
        <v>300000</v>
      </c>
      <c r="G10" s="85"/>
      <c r="H10" s="85"/>
      <c r="I10" s="85"/>
      <c r="J10" s="2" t="s">
        <v>1094</v>
      </c>
      <c r="L10" s="410"/>
      <c r="M10" s="410"/>
      <c r="N10" s="410"/>
      <c r="O10" s="410"/>
    </row>
    <row r="11" spans="1:15" s="6" customFormat="1" ht="52" outlineLevel="1" x14ac:dyDescent="0.35">
      <c r="A11" s="7">
        <v>2</v>
      </c>
      <c r="B11" s="21" t="s">
        <v>14</v>
      </c>
      <c r="C11" s="394" t="s">
        <v>1092</v>
      </c>
      <c r="D11" s="391" t="s">
        <v>1093</v>
      </c>
      <c r="E11" s="391" t="s">
        <v>66</v>
      </c>
      <c r="F11" s="409">
        <v>52000</v>
      </c>
      <c r="G11" s="85"/>
      <c r="H11" s="85"/>
      <c r="I11" s="85"/>
      <c r="J11" s="2" t="s">
        <v>1095</v>
      </c>
      <c r="L11" s="410"/>
      <c r="M11" s="410"/>
      <c r="N11" s="410"/>
      <c r="O11" s="410"/>
    </row>
    <row r="12" spans="1:15" x14ac:dyDescent="0.3">
      <c r="A12" s="457" t="s">
        <v>92</v>
      </c>
      <c r="B12" s="458"/>
      <c r="C12" s="458"/>
      <c r="D12" s="458"/>
      <c r="E12" s="459"/>
      <c r="F12" s="43">
        <f>SUM(F13:F25)</f>
        <v>1271839</v>
      </c>
      <c r="G12" s="43">
        <f t="shared" ref="G12:I12" si="2">SUM(G13:G25)</f>
        <v>1271839</v>
      </c>
      <c r="H12" s="43">
        <f t="shared" si="2"/>
        <v>1271839</v>
      </c>
      <c r="I12" s="43">
        <f t="shared" si="2"/>
        <v>1271839</v>
      </c>
      <c r="J12" s="1"/>
    </row>
    <row r="13" spans="1:15" s="6" customFormat="1" ht="39" outlineLevel="1" x14ac:dyDescent="0.35">
      <c r="A13" s="7">
        <v>1</v>
      </c>
      <c r="B13" s="21" t="s">
        <v>16</v>
      </c>
      <c r="C13" s="5" t="s">
        <v>95</v>
      </c>
      <c r="D13" s="5" t="s">
        <v>96</v>
      </c>
      <c r="E13" s="2" t="s">
        <v>66</v>
      </c>
      <c r="F13" s="85">
        <v>200582</v>
      </c>
      <c r="G13" s="85">
        <v>200582</v>
      </c>
      <c r="H13" s="85">
        <v>200582</v>
      </c>
      <c r="I13" s="85">
        <v>210582</v>
      </c>
      <c r="J13" s="4"/>
    </row>
    <row r="14" spans="1:15" s="6" customFormat="1" ht="39" outlineLevel="1" x14ac:dyDescent="0.35">
      <c r="A14" s="7">
        <v>2</v>
      </c>
      <c r="B14" s="21" t="s">
        <v>16</v>
      </c>
      <c r="C14" s="5" t="s">
        <v>98</v>
      </c>
      <c r="D14" s="5" t="s">
        <v>96</v>
      </c>
      <c r="E14" s="2" t="s">
        <v>66</v>
      </c>
      <c r="F14" s="85">
        <v>55000</v>
      </c>
      <c r="G14" s="85">
        <v>55000</v>
      </c>
      <c r="H14" s="85">
        <v>55000</v>
      </c>
      <c r="I14" s="85">
        <v>60000</v>
      </c>
      <c r="J14" s="4"/>
    </row>
    <row r="15" spans="1:15" s="6" customFormat="1" ht="39" outlineLevel="1" x14ac:dyDescent="0.35">
      <c r="A15" s="7">
        <v>3</v>
      </c>
      <c r="B15" s="21" t="s">
        <v>16</v>
      </c>
      <c r="C15" s="5" t="s">
        <v>98</v>
      </c>
      <c r="D15" s="5" t="s">
        <v>96</v>
      </c>
      <c r="E15" s="2" t="s">
        <v>66</v>
      </c>
      <c r="F15" s="85">
        <v>57000</v>
      </c>
      <c r="G15" s="19"/>
      <c r="H15" s="19"/>
      <c r="I15" s="19"/>
      <c r="J15" s="2" t="s">
        <v>99</v>
      </c>
    </row>
    <row r="16" spans="1:15" s="6" customFormat="1" ht="39" outlineLevel="1" x14ac:dyDescent="0.35">
      <c r="A16" s="7">
        <v>4</v>
      </c>
      <c r="B16" s="21" t="s">
        <v>16</v>
      </c>
      <c r="C16" s="5" t="s">
        <v>101</v>
      </c>
      <c r="D16" s="5" t="s">
        <v>96</v>
      </c>
      <c r="E16" s="2" t="s">
        <v>68</v>
      </c>
      <c r="F16" s="19">
        <v>16598</v>
      </c>
      <c r="G16" s="19">
        <v>21500</v>
      </c>
      <c r="H16" s="19">
        <v>21500</v>
      </c>
      <c r="I16" s="19">
        <v>71500</v>
      </c>
      <c r="J16" s="2" t="s">
        <v>99</v>
      </c>
    </row>
    <row r="17" spans="1:10" s="6" customFormat="1" ht="39" outlineLevel="1" x14ac:dyDescent="0.35">
      <c r="A17" s="7">
        <v>5</v>
      </c>
      <c r="B17" s="21" t="s">
        <v>16</v>
      </c>
      <c r="C17" s="5" t="s">
        <v>103</v>
      </c>
      <c r="D17" s="5" t="s">
        <v>96</v>
      </c>
      <c r="E17" s="2" t="s">
        <v>66</v>
      </c>
      <c r="F17" s="85">
        <v>19945</v>
      </c>
      <c r="G17" s="19">
        <v>116275</v>
      </c>
      <c r="H17" s="19">
        <v>119846</v>
      </c>
      <c r="I17" s="19">
        <v>141051</v>
      </c>
      <c r="J17" s="2" t="s">
        <v>104</v>
      </c>
    </row>
    <row r="18" spans="1:10" s="6" customFormat="1" ht="39" outlineLevel="1" x14ac:dyDescent="0.35">
      <c r="A18" s="7">
        <v>6</v>
      </c>
      <c r="B18" s="21" t="s">
        <v>16</v>
      </c>
      <c r="C18" s="5" t="s">
        <v>105</v>
      </c>
      <c r="D18" s="5" t="s">
        <v>96</v>
      </c>
      <c r="E18" s="5" t="s">
        <v>65</v>
      </c>
      <c r="F18" s="85">
        <v>50000</v>
      </c>
      <c r="G18" s="19">
        <v>50000</v>
      </c>
      <c r="H18" s="19">
        <v>50000</v>
      </c>
      <c r="I18" s="19">
        <v>50000</v>
      </c>
      <c r="J18" s="2" t="s">
        <v>104</v>
      </c>
    </row>
    <row r="19" spans="1:10" s="6" customFormat="1" ht="39" outlineLevel="1" x14ac:dyDescent="0.35">
      <c r="A19" s="7">
        <v>7</v>
      </c>
      <c r="B19" s="21" t="s">
        <v>16</v>
      </c>
      <c r="C19" s="5" t="s">
        <v>106</v>
      </c>
      <c r="D19" s="5" t="s">
        <v>96</v>
      </c>
      <c r="E19" s="2" t="s">
        <v>66</v>
      </c>
      <c r="F19" s="85">
        <v>40000</v>
      </c>
      <c r="G19" s="85">
        <v>40000</v>
      </c>
      <c r="H19" s="85">
        <v>40000</v>
      </c>
      <c r="I19" s="85">
        <v>50000</v>
      </c>
      <c r="J19" s="4"/>
    </row>
    <row r="20" spans="1:10" s="6" customFormat="1" ht="65" outlineLevel="1" x14ac:dyDescent="0.35">
      <c r="A20" s="7">
        <v>8</v>
      </c>
      <c r="B20" s="21" t="s">
        <v>16</v>
      </c>
      <c r="C20" s="5" t="s">
        <v>108</v>
      </c>
      <c r="D20" s="5" t="s">
        <v>96</v>
      </c>
      <c r="E20" s="2" t="s">
        <v>67</v>
      </c>
      <c r="F20" s="85"/>
      <c r="G20" s="85">
        <v>100000</v>
      </c>
      <c r="H20" s="85">
        <v>100000</v>
      </c>
      <c r="I20" s="85">
        <v>100000</v>
      </c>
      <c r="J20" s="2" t="s">
        <v>109</v>
      </c>
    </row>
    <row r="21" spans="1:10" s="6" customFormat="1" ht="39" outlineLevel="1" x14ac:dyDescent="0.35">
      <c r="A21" s="7">
        <v>9</v>
      </c>
      <c r="B21" s="21" t="s">
        <v>16</v>
      </c>
      <c r="C21" s="5" t="s">
        <v>111</v>
      </c>
      <c r="D21" s="5" t="s">
        <v>96</v>
      </c>
      <c r="E21" s="2" t="s">
        <v>66</v>
      </c>
      <c r="F21" s="85">
        <v>268113</v>
      </c>
      <c r="G21" s="85">
        <v>123881</v>
      </c>
      <c r="H21" s="85">
        <v>120310</v>
      </c>
      <c r="I21" s="19"/>
      <c r="J21" s="4"/>
    </row>
    <row r="22" spans="1:10" s="6" customFormat="1" ht="39" outlineLevel="1" x14ac:dyDescent="0.35">
      <c r="A22" s="7">
        <v>10</v>
      </c>
      <c r="B22" s="103" t="s">
        <v>16</v>
      </c>
      <c r="C22" s="45" t="s">
        <v>105</v>
      </c>
      <c r="D22" s="45" t="s">
        <v>96</v>
      </c>
      <c r="E22" s="45" t="s">
        <v>65</v>
      </c>
      <c r="F22" s="300">
        <v>177775</v>
      </c>
      <c r="G22" s="301">
        <v>177775</v>
      </c>
      <c r="H22" s="301">
        <v>177775</v>
      </c>
      <c r="I22" s="301">
        <v>177775</v>
      </c>
      <c r="J22" s="4"/>
    </row>
    <row r="23" spans="1:10" s="6" customFormat="1" ht="39" outlineLevel="1" x14ac:dyDescent="0.35">
      <c r="A23" s="7">
        <v>11</v>
      </c>
      <c r="B23" s="103" t="s">
        <v>16</v>
      </c>
      <c r="C23" s="45" t="s">
        <v>105</v>
      </c>
      <c r="D23" s="45" t="s">
        <v>96</v>
      </c>
      <c r="E23" s="45" t="s">
        <v>65</v>
      </c>
      <c r="F23" s="300">
        <v>307729</v>
      </c>
      <c r="G23" s="300">
        <v>307729</v>
      </c>
      <c r="H23" s="300">
        <v>307729</v>
      </c>
      <c r="I23" s="300">
        <v>326834</v>
      </c>
      <c r="J23" s="4"/>
    </row>
    <row r="24" spans="1:10" s="6" customFormat="1" ht="39" outlineLevel="1" x14ac:dyDescent="0.35">
      <c r="A24" s="7">
        <v>12</v>
      </c>
      <c r="B24" s="103" t="s">
        <v>16</v>
      </c>
      <c r="C24" s="45" t="s">
        <v>967</v>
      </c>
      <c r="D24" s="45" t="s">
        <v>96</v>
      </c>
      <c r="E24" s="2" t="s">
        <v>66</v>
      </c>
      <c r="F24" s="300">
        <v>20000</v>
      </c>
      <c r="G24" s="300">
        <v>20000</v>
      </c>
      <c r="H24" s="300">
        <v>20000</v>
      </c>
      <c r="I24" s="300">
        <v>25000</v>
      </c>
      <c r="J24" s="4"/>
    </row>
    <row r="25" spans="1:10" s="6" customFormat="1" ht="26" outlineLevel="1" x14ac:dyDescent="0.35">
      <c r="A25" s="7">
        <v>13</v>
      </c>
      <c r="B25" s="21" t="s">
        <v>16</v>
      </c>
      <c r="C25" s="5" t="s">
        <v>103</v>
      </c>
      <c r="D25" s="5" t="s">
        <v>113</v>
      </c>
      <c r="E25" s="2" t="s">
        <v>66</v>
      </c>
      <c r="F25" s="85">
        <v>59097</v>
      </c>
      <c r="G25" s="85">
        <v>59097</v>
      </c>
      <c r="H25" s="85">
        <v>59097</v>
      </c>
      <c r="I25" s="85">
        <v>59097</v>
      </c>
      <c r="J25" s="2" t="s">
        <v>104</v>
      </c>
    </row>
    <row r="26" spans="1:10" x14ac:dyDescent="0.3">
      <c r="A26" s="478" t="s">
        <v>1065</v>
      </c>
      <c r="B26" s="479"/>
      <c r="C26" s="479"/>
      <c r="D26" s="479"/>
      <c r="E26" s="480"/>
      <c r="F26" s="328">
        <f>SUM(F27:F28)</f>
        <v>516700</v>
      </c>
      <c r="G26" s="328">
        <f>SUM(G27:G28)</f>
        <v>516700</v>
      </c>
      <c r="H26" s="328">
        <f>SUM(H27:H28)</f>
        <v>516700</v>
      </c>
      <c r="I26" s="328">
        <f>SUM(I27:I28)</f>
        <v>516700</v>
      </c>
      <c r="J26" s="1"/>
    </row>
    <row r="27" spans="1:10" s="6" customFormat="1" outlineLevel="1" x14ac:dyDescent="0.35">
      <c r="A27" s="486">
        <v>1</v>
      </c>
      <c r="B27" s="487" t="s">
        <v>17</v>
      </c>
      <c r="C27" s="488" t="s">
        <v>1016</v>
      </c>
      <c r="D27" s="488" t="s">
        <v>119</v>
      </c>
      <c r="E27" s="208" t="s">
        <v>65</v>
      </c>
      <c r="F27" s="303">
        <v>502000</v>
      </c>
      <c r="G27" s="303">
        <v>502000</v>
      </c>
      <c r="H27" s="303">
        <v>502000</v>
      </c>
      <c r="I27" s="303">
        <v>502000</v>
      </c>
      <c r="J27" s="4"/>
    </row>
    <row r="28" spans="1:10" s="6" customFormat="1" outlineLevel="1" x14ac:dyDescent="0.35">
      <c r="A28" s="486"/>
      <c r="B28" s="487"/>
      <c r="C28" s="488"/>
      <c r="D28" s="488"/>
      <c r="E28" s="208" t="s">
        <v>123</v>
      </c>
      <c r="F28" s="303">
        <v>14700</v>
      </c>
      <c r="G28" s="303">
        <v>14700</v>
      </c>
      <c r="H28" s="303">
        <v>14700</v>
      </c>
      <c r="I28" s="303">
        <v>14700</v>
      </c>
      <c r="J28" s="4"/>
    </row>
    <row r="29" spans="1:10" x14ac:dyDescent="0.3">
      <c r="A29" s="481" t="s">
        <v>124</v>
      </c>
      <c r="B29" s="482"/>
      <c r="C29" s="482"/>
      <c r="D29" s="482"/>
      <c r="E29" s="483"/>
      <c r="F29" s="231">
        <f>SUM(F30:F34)</f>
        <v>223898</v>
      </c>
      <c r="G29" s="231">
        <f>SUM(G30:G34)</f>
        <v>223898</v>
      </c>
      <c r="H29" s="231">
        <f t="shared" ref="H29:I29" si="3">SUM(H30:H34)</f>
        <v>223898</v>
      </c>
      <c r="I29" s="231">
        <f t="shared" si="3"/>
        <v>223898</v>
      </c>
      <c r="J29" s="1"/>
    </row>
    <row r="30" spans="1:10" s="6" customFormat="1" ht="28" outlineLevel="1" x14ac:dyDescent="0.35">
      <c r="A30" s="235">
        <v>1</v>
      </c>
      <c r="B30" s="103" t="s">
        <v>19</v>
      </c>
      <c r="C30" s="295" t="s">
        <v>127</v>
      </c>
      <c r="D30" s="296" t="s">
        <v>128</v>
      </c>
      <c r="E30" s="296" t="s">
        <v>123</v>
      </c>
      <c r="F30" s="85">
        <v>18000</v>
      </c>
      <c r="G30" s="19">
        <v>18000</v>
      </c>
      <c r="H30" s="19">
        <v>18000</v>
      </c>
      <c r="I30" s="19">
        <v>18000</v>
      </c>
      <c r="J30" s="4"/>
    </row>
    <row r="31" spans="1:10" s="6" customFormat="1" ht="42" outlineLevel="1" x14ac:dyDescent="0.35">
      <c r="A31" s="255">
        <v>2</v>
      </c>
      <c r="B31" s="103" t="s">
        <v>19</v>
      </c>
      <c r="C31" s="297" t="s">
        <v>130</v>
      </c>
      <c r="D31" s="298" t="s">
        <v>131</v>
      </c>
      <c r="E31" s="298" t="s">
        <v>67</v>
      </c>
      <c r="F31" s="85">
        <v>153224</v>
      </c>
      <c r="G31" s="19">
        <f>226574-24102</f>
        <v>202472</v>
      </c>
      <c r="H31" s="19">
        <f>226574-24102</f>
        <v>202472</v>
      </c>
      <c r="I31" s="19">
        <f>226574-24102</f>
        <v>202472</v>
      </c>
      <c r="J31" s="4"/>
    </row>
    <row r="32" spans="1:10" s="6" customFormat="1" ht="42" outlineLevel="1" x14ac:dyDescent="0.35">
      <c r="A32" s="255">
        <v>3</v>
      </c>
      <c r="B32" s="103" t="s">
        <v>19</v>
      </c>
      <c r="C32" s="297" t="s">
        <v>130</v>
      </c>
      <c r="D32" s="298" t="s">
        <v>131</v>
      </c>
      <c r="E32" s="298" t="s">
        <v>123</v>
      </c>
      <c r="F32" s="85"/>
      <c r="G32" s="19">
        <v>3426</v>
      </c>
      <c r="H32" s="19">
        <v>3426</v>
      </c>
      <c r="I32" s="19">
        <v>3426</v>
      </c>
      <c r="J32" s="4"/>
    </row>
    <row r="33" spans="1:10" s="6" customFormat="1" ht="28" outlineLevel="1" x14ac:dyDescent="0.35">
      <c r="A33" s="255">
        <v>4</v>
      </c>
      <c r="B33" s="103" t="s">
        <v>19</v>
      </c>
      <c r="C33" s="299" t="s">
        <v>135</v>
      </c>
      <c r="D33" s="298" t="s">
        <v>136</v>
      </c>
      <c r="E33" s="298" t="s">
        <v>123</v>
      </c>
      <c r="F33" s="85">
        <v>21848</v>
      </c>
      <c r="G33" s="19"/>
      <c r="H33" s="19"/>
      <c r="I33" s="19"/>
      <c r="J33" s="4"/>
    </row>
    <row r="34" spans="1:10" s="6" customFormat="1" ht="28" outlineLevel="1" x14ac:dyDescent="0.35">
      <c r="A34" s="255">
        <v>5</v>
      </c>
      <c r="B34" s="103" t="s">
        <v>19</v>
      </c>
      <c r="C34" s="297" t="s">
        <v>138</v>
      </c>
      <c r="D34" s="298" t="s">
        <v>136</v>
      </c>
      <c r="E34" s="298" t="s">
        <v>123</v>
      </c>
      <c r="F34" s="85">
        <v>30826</v>
      </c>
      <c r="G34" s="19"/>
      <c r="H34" s="19"/>
      <c r="I34" s="19"/>
      <c r="J34" s="4"/>
    </row>
    <row r="35" spans="1:10" x14ac:dyDescent="0.3">
      <c r="A35" s="481" t="s">
        <v>142</v>
      </c>
      <c r="B35" s="482"/>
      <c r="C35" s="482"/>
      <c r="D35" s="482"/>
      <c r="E35" s="483"/>
      <c r="F35" s="39">
        <f>SUM(F36:F44)</f>
        <v>439199</v>
      </c>
      <c r="G35" s="39">
        <f t="shared" ref="G35:I35" si="4">SUM(G36:G44)</f>
        <v>439199</v>
      </c>
      <c r="H35" s="39">
        <f t="shared" si="4"/>
        <v>439199</v>
      </c>
      <c r="I35" s="39">
        <f t="shared" si="4"/>
        <v>439199</v>
      </c>
      <c r="J35" s="1"/>
    </row>
    <row r="36" spans="1:10" s="6" customFormat="1" ht="26" outlineLevel="1" x14ac:dyDescent="0.35">
      <c r="A36" s="7">
        <v>1</v>
      </c>
      <c r="B36" s="21" t="s">
        <v>21</v>
      </c>
      <c r="C36" s="5" t="s">
        <v>145</v>
      </c>
      <c r="D36" s="5" t="s">
        <v>146</v>
      </c>
      <c r="E36" s="2" t="s">
        <v>66</v>
      </c>
      <c r="F36" s="84">
        <v>90000</v>
      </c>
      <c r="G36" s="20">
        <v>90000</v>
      </c>
      <c r="H36" s="20">
        <v>90000</v>
      </c>
      <c r="I36" s="20">
        <v>90000</v>
      </c>
      <c r="J36" s="4"/>
    </row>
    <row r="37" spans="1:10" s="6" customFormat="1" ht="26" outlineLevel="1" x14ac:dyDescent="0.35">
      <c r="A37" s="7">
        <v>2</v>
      </c>
      <c r="B37" s="21" t="s">
        <v>21</v>
      </c>
      <c r="C37" s="5" t="s">
        <v>147</v>
      </c>
      <c r="D37" s="5" t="s">
        <v>146</v>
      </c>
      <c r="E37" s="2" t="s">
        <v>66</v>
      </c>
      <c r="F37" s="84">
        <v>50000</v>
      </c>
      <c r="G37" s="20">
        <v>50000</v>
      </c>
      <c r="H37" s="20">
        <v>50000</v>
      </c>
      <c r="I37" s="20">
        <v>50000</v>
      </c>
      <c r="J37" s="4"/>
    </row>
    <row r="38" spans="1:10" s="6" customFormat="1" ht="26" outlineLevel="1" x14ac:dyDescent="0.35">
      <c r="A38" s="7">
        <v>3</v>
      </c>
      <c r="B38" s="21" t="s">
        <v>21</v>
      </c>
      <c r="C38" s="5" t="s">
        <v>148</v>
      </c>
      <c r="D38" s="5" t="s">
        <v>146</v>
      </c>
      <c r="E38" s="2" t="s">
        <v>66</v>
      </c>
      <c r="F38" s="84">
        <v>10000</v>
      </c>
      <c r="G38" s="20">
        <v>10000</v>
      </c>
      <c r="H38" s="20">
        <v>10000</v>
      </c>
      <c r="I38" s="20">
        <v>10000</v>
      </c>
      <c r="J38" s="4"/>
    </row>
    <row r="39" spans="1:10" s="6" customFormat="1" ht="26" outlineLevel="1" x14ac:dyDescent="0.35">
      <c r="A39" s="7">
        <v>4</v>
      </c>
      <c r="B39" s="21" t="s">
        <v>21</v>
      </c>
      <c r="C39" s="5" t="s">
        <v>149</v>
      </c>
      <c r="D39" s="5" t="s">
        <v>146</v>
      </c>
      <c r="E39" s="2" t="s">
        <v>66</v>
      </c>
      <c r="F39" s="84">
        <v>5115</v>
      </c>
      <c r="G39" s="20">
        <v>5115</v>
      </c>
      <c r="H39" s="20">
        <v>5115</v>
      </c>
      <c r="I39" s="20">
        <v>5115</v>
      </c>
      <c r="J39" s="4"/>
    </row>
    <row r="40" spans="1:10" s="6" customFormat="1" ht="26" outlineLevel="1" x14ac:dyDescent="0.35">
      <c r="A40" s="7">
        <v>5</v>
      </c>
      <c r="B40" s="21" t="s">
        <v>21</v>
      </c>
      <c r="C40" s="5" t="s">
        <v>151</v>
      </c>
      <c r="D40" s="5" t="s">
        <v>146</v>
      </c>
      <c r="E40" s="2" t="s">
        <v>66</v>
      </c>
      <c r="F40" s="84">
        <v>5000</v>
      </c>
      <c r="G40" s="20">
        <v>5000</v>
      </c>
      <c r="H40" s="20">
        <v>5000</v>
      </c>
      <c r="I40" s="20">
        <v>5000</v>
      </c>
      <c r="J40" s="4"/>
    </row>
    <row r="41" spans="1:10" s="6" customFormat="1" ht="39" outlineLevel="1" x14ac:dyDescent="0.35">
      <c r="A41" s="7">
        <v>6</v>
      </c>
      <c r="B41" s="21" t="s">
        <v>21</v>
      </c>
      <c r="C41" s="5" t="s">
        <v>152</v>
      </c>
      <c r="D41" s="5" t="s">
        <v>146</v>
      </c>
      <c r="E41" s="2" t="s">
        <v>66</v>
      </c>
      <c r="F41" s="84">
        <v>104005</v>
      </c>
      <c r="G41" s="20">
        <v>104005</v>
      </c>
      <c r="H41" s="20">
        <v>104005</v>
      </c>
      <c r="I41" s="20">
        <v>104005</v>
      </c>
      <c r="J41" s="4"/>
    </row>
    <row r="42" spans="1:10" s="6" customFormat="1" ht="52" outlineLevel="1" x14ac:dyDescent="0.3">
      <c r="A42" s="7">
        <v>7</v>
      </c>
      <c r="B42" s="21" t="s">
        <v>21</v>
      </c>
      <c r="C42" s="5" t="s">
        <v>153</v>
      </c>
      <c r="D42" s="5" t="s">
        <v>146</v>
      </c>
      <c r="E42" s="46" t="s">
        <v>70</v>
      </c>
      <c r="F42" s="84">
        <v>156479</v>
      </c>
      <c r="G42" s="20">
        <v>156479</v>
      </c>
      <c r="H42" s="20">
        <v>156479</v>
      </c>
      <c r="I42" s="20">
        <v>156479</v>
      </c>
      <c r="J42" s="4"/>
    </row>
    <row r="43" spans="1:10" s="6" customFormat="1" ht="39" outlineLevel="1" x14ac:dyDescent="0.35">
      <c r="A43" s="7">
        <v>8</v>
      </c>
      <c r="B43" s="21" t="s">
        <v>21</v>
      </c>
      <c r="C43" s="5" t="s">
        <v>154</v>
      </c>
      <c r="D43" s="5" t="s">
        <v>146</v>
      </c>
      <c r="E43" s="2" t="s">
        <v>66</v>
      </c>
      <c r="F43" s="84">
        <v>6400</v>
      </c>
      <c r="G43" s="20">
        <v>6400</v>
      </c>
      <c r="H43" s="20">
        <v>6400</v>
      </c>
      <c r="I43" s="20">
        <v>6400</v>
      </c>
      <c r="J43" s="4"/>
    </row>
    <row r="44" spans="1:10" s="6" customFormat="1" ht="26" outlineLevel="1" x14ac:dyDescent="0.35">
      <c r="A44" s="7">
        <v>9</v>
      </c>
      <c r="B44" s="21" t="s">
        <v>21</v>
      </c>
      <c r="C44" s="5" t="s">
        <v>156</v>
      </c>
      <c r="D44" s="22" t="s">
        <v>157</v>
      </c>
      <c r="E44" s="2" t="s">
        <v>66</v>
      </c>
      <c r="F44" s="98">
        <v>12200</v>
      </c>
      <c r="G44" s="97">
        <v>12200</v>
      </c>
      <c r="H44" s="97">
        <v>12200</v>
      </c>
      <c r="I44" s="97">
        <v>12200</v>
      </c>
      <c r="J44" s="4"/>
    </row>
    <row r="45" spans="1:10" x14ac:dyDescent="0.3">
      <c r="A45" s="457" t="s">
        <v>159</v>
      </c>
      <c r="B45" s="458"/>
      <c r="C45" s="458"/>
      <c r="D45" s="458"/>
      <c r="E45" s="459"/>
      <c r="F45" s="39">
        <f>SUM(F46:F57)</f>
        <v>3836047</v>
      </c>
      <c r="G45" s="39">
        <f>SUM(G46:G57)</f>
        <v>3836047</v>
      </c>
      <c r="H45" s="39">
        <f>SUM(H46:H57)</f>
        <v>3836047</v>
      </c>
      <c r="I45" s="39">
        <f>SUM(I46:I57)</f>
        <v>3529804</v>
      </c>
      <c r="J45" s="1"/>
    </row>
    <row r="46" spans="1:10" s="6" customFormat="1" ht="26" outlineLevel="1" x14ac:dyDescent="0.35">
      <c r="A46" s="7">
        <v>1</v>
      </c>
      <c r="B46" s="7" t="s">
        <v>22</v>
      </c>
      <c r="C46" s="5" t="s">
        <v>162</v>
      </c>
      <c r="D46" s="2" t="s">
        <v>163</v>
      </c>
      <c r="E46" s="2" t="s">
        <v>164</v>
      </c>
      <c r="F46" s="84">
        <v>1103000</v>
      </c>
      <c r="G46" s="20">
        <v>1106000</v>
      </c>
      <c r="H46" s="20">
        <v>579000</v>
      </c>
      <c r="I46" s="20">
        <v>137000</v>
      </c>
      <c r="J46" s="4"/>
    </row>
    <row r="47" spans="1:10" s="6" customFormat="1" outlineLevel="1" x14ac:dyDescent="0.35">
      <c r="A47" s="493">
        <v>2</v>
      </c>
      <c r="B47" s="493" t="s">
        <v>22</v>
      </c>
      <c r="C47" s="495" t="s">
        <v>166</v>
      </c>
      <c r="D47" s="495" t="s">
        <v>167</v>
      </c>
      <c r="E47" s="2" t="s">
        <v>67</v>
      </c>
      <c r="F47" s="84">
        <v>46000</v>
      </c>
      <c r="G47" s="20">
        <v>46000</v>
      </c>
      <c r="H47" s="20">
        <v>46000</v>
      </c>
      <c r="I47" s="20">
        <v>46000</v>
      </c>
      <c r="J47" s="4"/>
    </row>
    <row r="48" spans="1:10" s="6" customFormat="1" outlineLevel="1" x14ac:dyDescent="0.35">
      <c r="A48" s="494"/>
      <c r="B48" s="494"/>
      <c r="C48" s="496"/>
      <c r="D48" s="496"/>
      <c r="E48" s="2" t="s">
        <v>66</v>
      </c>
      <c r="F48" s="84">
        <v>4000</v>
      </c>
      <c r="G48" s="20">
        <v>4000</v>
      </c>
      <c r="H48" s="20">
        <v>4000</v>
      </c>
      <c r="I48" s="20">
        <v>4000</v>
      </c>
      <c r="J48" s="4"/>
    </row>
    <row r="49" spans="1:10" s="6" customFormat="1" outlineLevel="1" x14ac:dyDescent="0.35">
      <c r="A49" s="493">
        <v>3</v>
      </c>
      <c r="B49" s="493" t="s">
        <v>22</v>
      </c>
      <c r="C49" s="495" t="s">
        <v>169</v>
      </c>
      <c r="D49" s="495" t="s">
        <v>167</v>
      </c>
      <c r="E49" s="2" t="s">
        <v>67</v>
      </c>
      <c r="F49" s="84">
        <v>150000</v>
      </c>
      <c r="G49" s="20">
        <v>150000</v>
      </c>
      <c r="H49" s="20">
        <v>150000</v>
      </c>
      <c r="I49" s="20">
        <v>150000</v>
      </c>
      <c r="J49" s="4"/>
    </row>
    <row r="50" spans="1:10" s="6" customFormat="1" ht="91" outlineLevel="1" x14ac:dyDescent="0.35">
      <c r="A50" s="494"/>
      <c r="B50" s="494"/>
      <c r="C50" s="496"/>
      <c r="D50" s="496"/>
      <c r="E50" s="2" t="s">
        <v>170</v>
      </c>
      <c r="F50" s="84">
        <v>50000</v>
      </c>
      <c r="G50" s="20">
        <v>50000</v>
      </c>
      <c r="H50" s="20">
        <v>50000</v>
      </c>
      <c r="I50" s="20">
        <v>50000</v>
      </c>
      <c r="J50" s="4"/>
    </row>
    <row r="51" spans="1:10" s="6" customFormat="1" ht="78" customHeight="1" outlineLevel="1" x14ac:dyDescent="0.35">
      <c r="A51" s="493">
        <v>4</v>
      </c>
      <c r="B51" s="493" t="s">
        <v>22</v>
      </c>
      <c r="C51" s="495" t="s">
        <v>171</v>
      </c>
      <c r="D51" s="495" t="s">
        <v>167</v>
      </c>
      <c r="E51" s="2" t="s">
        <v>65</v>
      </c>
      <c r="F51" s="20">
        <v>55000</v>
      </c>
      <c r="G51" s="20">
        <v>55000</v>
      </c>
      <c r="H51" s="20"/>
      <c r="I51" s="20"/>
      <c r="J51" s="495" t="s">
        <v>172</v>
      </c>
    </row>
    <row r="52" spans="1:10" s="6" customFormat="1" outlineLevel="1" x14ac:dyDescent="0.35">
      <c r="A52" s="494"/>
      <c r="B52" s="494"/>
      <c r="C52" s="496"/>
      <c r="D52" s="496"/>
      <c r="E52" s="2" t="s">
        <v>66</v>
      </c>
      <c r="F52" s="20">
        <v>193500</v>
      </c>
      <c r="G52" s="20">
        <v>193500</v>
      </c>
      <c r="H52" s="20"/>
      <c r="I52" s="20"/>
      <c r="J52" s="496"/>
    </row>
    <row r="53" spans="1:10" s="6" customFormat="1" ht="26" outlineLevel="1" x14ac:dyDescent="0.35">
      <c r="A53" s="235">
        <v>5</v>
      </c>
      <c r="B53" s="235" t="s">
        <v>22</v>
      </c>
      <c r="C53" s="45" t="s">
        <v>104</v>
      </c>
      <c r="D53" s="45" t="s">
        <v>167</v>
      </c>
      <c r="E53" s="2" t="s">
        <v>65</v>
      </c>
      <c r="F53" s="20">
        <v>120000</v>
      </c>
      <c r="G53" s="20"/>
      <c r="H53" s="20"/>
      <c r="I53" s="20"/>
      <c r="J53" s="2" t="s">
        <v>104</v>
      </c>
    </row>
    <row r="54" spans="1:10" s="6" customFormat="1" ht="104" outlineLevel="1" x14ac:dyDescent="0.35">
      <c r="A54" s="493">
        <v>6</v>
      </c>
      <c r="B54" s="493" t="s">
        <v>22</v>
      </c>
      <c r="C54" s="495" t="s">
        <v>173</v>
      </c>
      <c r="D54" s="495" t="s">
        <v>167</v>
      </c>
      <c r="E54" s="2" t="s">
        <v>65</v>
      </c>
      <c r="F54" s="84">
        <v>1441295</v>
      </c>
      <c r="G54" s="20">
        <v>1526312</v>
      </c>
      <c r="H54" s="20">
        <v>2008847</v>
      </c>
      <c r="I54" s="20">
        <v>2080245</v>
      </c>
      <c r="J54" s="2" t="s">
        <v>174</v>
      </c>
    </row>
    <row r="55" spans="1:10" s="6" customFormat="1" ht="65" outlineLevel="1" x14ac:dyDescent="0.35">
      <c r="A55" s="508"/>
      <c r="B55" s="508"/>
      <c r="C55" s="509"/>
      <c r="D55" s="509"/>
      <c r="E55" s="2" t="s">
        <v>66</v>
      </c>
      <c r="F55" s="84">
        <v>531450</v>
      </c>
      <c r="G55" s="20">
        <v>563433</v>
      </c>
      <c r="H55" s="20">
        <v>856398</v>
      </c>
      <c r="I55" s="20">
        <v>920757</v>
      </c>
      <c r="J55" s="2" t="s">
        <v>176</v>
      </c>
    </row>
    <row r="56" spans="1:10" s="6" customFormat="1" ht="26" outlineLevel="1" x14ac:dyDescent="0.35">
      <c r="A56" s="494"/>
      <c r="B56" s="494"/>
      <c r="C56" s="496"/>
      <c r="D56" s="496"/>
      <c r="E56" s="2" t="s">
        <v>68</v>
      </c>
      <c r="F56" s="20">
        <v>140658</v>
      </c>
      <c r="G56" s="20">
        <v>140658</v>
      </c>
      <c r="H56" s="20">
        <v>140658</v>
      </c>
      <c r="I56" s="20">
        <v>140658</v>
      </c>
      <c r="J56" s="4"/>
    </row>
    <row r="57" spans="1:10" s="6" customFormat="1" ht="26" outlineLevel="1" x14ac:dyDescent="0.35">
      <c r="A57" s="7">
        <v>7</v>
      </c>
      <c r="B57" s="7" t="s">
        <v>22</v>
      </c>
      <c r="C57" s="3" t="s">
        <v>177</v>
      </c>
      <c r="D57" s="3" t="s">
        <v>178</v>
      </c>
      <c r="E57" s="2" t="s">
        <v>69</v>
      </c>
      <c r="F57" s="84">
        <v>1144</v>
      </c>
      <c r="G57" s="20">
        <v>1144</v>
      </c>
      <c r="H57" s="20">
        <v>1144</v>
      </c>
      <c r="I57" s="20">
        <v>1144</v>
      </c>
      <c r="J57" s="4"/>
    </row>
    <row r="58" spans="1:10" x14ac:dyDescent="0.3">
      <c r="A58" s="457" t="s">
        <v>179</v>
      </c>
      <c r="B58" s="458"/>
      <c r="C58" s="458"/>
      <c r="D58" s="458"/>
      <c r="E58" s="459"/>
      <c r="F58" s="39">
        <f>SUM(F59:F74)</f>
        <v>9552158</v>
      </c>
      <c r="G58" s="39">
        <f t="shared" ref="G58:H58" si="5">SUM(G59:G74)</f>
        <v>9552158</v>
      </c>
      <c r="H58" s="39">
        <f t="shared" si="5"/>
        <v>9552158</v>
      </c>
      <c r="I58" s="39">
        <f>SUM(I59:I74)</f>
        <v>9552158</v>
      </c>
      <c r="J58" s="1"/>
    </row>
    <row r="59" spans="1:10" s="6" customFormat="1" ht="78" outlineLevel="1" x14ac:dyDescent="0.35">
      <c r="A59" s="7">
        <v>1</v>
      </c>
      <c r="B59" s="21" t="s">
        <v>23</v>
      </c>
      <c r="C59" s="2" t="s">
        <v>182</v>
      </c>
      <c r="D59" s="2" t="s">
        <v>183</v>
      </c>
      <c r="E59" s="2" t="s">
        <v>67</v>
      </c>
      <c r="F59" s="88">
        <v>220000</v>
      </c>
      <c r="G59" s="88">
        <v>220000</v>
      </c>
      <c r="H59" s="88">
        <v>220000</v>
      </c>
      <c r="I59" s="88">
        <v>220000</v>
      </c>
      <c r="J59" s="4"/>
    </row>
    <row r="60" spans="1:10" s="6" customFormat="1" ht="409.5" outlineLevel="1" x14ac:dyDescent="0.35">
      <c r="A60" s="7">
        <v>2</v>
      </c>
      <c r="B60" s="21" t="s">
        <v>23</v>
      </c>
      <c r="C60" s="2" t="s">
        <v>184</v>
      </c>
      <c r="D60" s="2" t="s">
        <v>185</v>
      </c>
      <c r="E60" s="2" t="s">
        <v>65</v>
      </c>
      <c r="F60" s="89">
        <v>400900</v>
      </c>
      <c r="G60" s="89">
        <v>400900</v>
      </c>
      <c r="H60" s="89">
        <v>400900</v>
      </c>
      <c r="I60" s="89">
        <v>400900</v>
      </c>
      <c r="J60" s="4"/>
    </row>
    <row r="61" spans="1:10" s="6" customFormat="1" ht="91" customHeight="1" outlineLevel="1" x14ac:dyDescent="0.35">
      <c r="A61" s="493">
        <v>3</v>
      </c>
      <c r="B61" s="497" t="s">
        <v>23</v>
      </c>
      <c r="C61" s="497" t="s">
        <v>187</v>
      </c>
      <c r="D61" s="495" t="s">
        <v>188</v>
      </c>
      <c r="E61" s="2" t="s">
        <v>65</v>
      </c>
      <c r="F61" s="89">
        <v>26000</v>
      </c>
      <c r="G61" s="89">
        <v>26000</v>
      </c>
      <c r="H61" s="89">
        <v>26000</v>
      </c>
      <c r="I61" s="89">
        <v>26000</v>
      </c>
      <c r="J61" s="495" t="s">
        <v>189</v>
      </c>
    </row>
    <row r="62" spans="1:10" s="6" customFormat="1" outlineLevel="1" x14ac:dyDescent="0.35">
      <c r="A62" s="494"/>
      <c r="B62" s="498"/>
      <c r="C62" s="498"/>
      <c r="D62" s="496"/>
      <c r="E62" s="2" t="s">
        <v>66</v>
      </c>
      <c r="F62" s="89">
        <v>79280</v>
      </c>
      <c r="G62" s="89">
        <v>79280</v>
      </c>
      <c r="H62" s="89">
        <v>79280</v>
      </c>
      <c r="I62" s="89">
        <v>79280</v>
      </c>
      <c r="J62" s="496"/>
    </row>
    <row r="63" spans="1:10" s="6" customFormat="1" ht="91" outlineLevel="1" x14ac:dyDescent="0.35">
      <c r="A63" s="7">
        <v>4</v>
      </c>
      <c r="B63" s="21" t="s">
        <v>23</v>
      </c>
      <c r="C63" s="2" t="s">
        <v>190</v>
      </c>
      <c r="D63" s="2" t="s">
        <v>191</v>
      </c>
      <c r="E63" s="2" t="s">
        <v>67</v>
      </c>
      <c r="F63" s="88">
        <v>40000</v>
      </c>
      <c r="G63" s="88">
        <v>40000</v>
      </c>
      <c r="H63" s="88">
        <v>40000</v>
      </c>
      <c r="I63" s="88">
        <v>40000</v>
      </c>
      <c r="J63" s="4"/>
    </row>
    <row r="64" spans="1:10" s="6" customFormat="1" ht="65" outlineLevel="1" x14ac:dyDescent="0.35">
      <c r="A64" s="7">
        <v>5</v>
      </c>
      <c r="B64" s="21" t="s">
        <v>23</v>
      </c>
      <c r="C64" s="2" t="s">
        <v>192</v>
      </c>
      <c r="D64" s="2" t="s">
        <v>193</v>
      </c>
      <c r="E64" s="2" t="s">
        <v>66</v>
      </c>
      <c r="F64" s="89">
        <v>643955</v>
      </c>
      <c r="G64" s="89"/>
      <c r="H64" s="89"/>
      <c r="I64" s="89"/>
      <c r="J64" s="4"/>
    </row>
    <row r="65" spans="1:10" s="6" customFormat="1" ht="39" outlineLevel="1" x14ac:dyDescent="0.35">
      <c r="A65" s="7">
        <v>6</v>
      </c>
      <c r="B65" s="21" t="s">
        <v>23</v>
      </c>
      <c r="C65" s="2" t="s">
        <v>195</v>
      </c>
      <c r="D65" s="2" t="s">
        <v>196</v>
      </c>
      <c r="E65" s="2" t="s">
        <v>67</v>
      </c>
      <c r="F65" s="88">
        <v>5000000</v>
      </c>
      <c r="G65" s="88">
        <v>5000000</v>
      </c>
      <c r="H65" s="88">
        <v>5000000</v>
      </c>
      <c r="I65" s="88">
        <v>5000000</v>
      </c>
      <c r="J65" s="4"/>
    </row>
    <row r="66" spans="1:10" s="6" customFormat="1" ht="104" outlineLevel="1" x14ac:dyDescent="0.35">
      <c r="A66" s="7">
        <v>7</v>
      </c>
      <c r="B66" s="21" t="s">
        <v>23</v>
      </c>
      <c r="C66" s="2" t="s">
        <v>198</v>
      </c>
      <c r="D66" s="2" t="s">
        <v>199</v>
      </c>
      <c r="E66" s="2" t="s">
        <v>68</v>
      </c>
      <c r="F66" s="88">
        <v>81900</v>
      </c>
      <c r="G66" s="88">
        <v>81900</v>
      </c>
      <c r="H66" s="88">
        <v>81900</v>
      </c>
      <c r="I66" s="88">
        <v>81900</v>
      </c>
      <c r="J66" s="4"/>
    </row>
    <row r="67" spans="1:10" s="6" customFormat="1" ht="91" outlineLevel="1" x14ac:dyDescent="0.35">
      <c r="A67" s="7">
        <v>8</v>
      </c>
      <c r="B67" s="21" t="s">
        <v>23</v>
      </c>
      <c r="C67" s="2" t="s">
        <v>200</v>
      </c>
      <c r="D67" s="2" t="s">
        <v>201</v>
      </c>
      <c r="E67" s="2" t="s">
        <v>66</v>
      </c>
      <c r="F67" s="89">
        <v>960000</v>
      </c>
      <c r="G67" s="89"/>
      <c r="H67" s="89"/>
      <c r="I67" s="89"/>
      <c r="J67" s="4"/>
    </row>
    <row r="68" spans="1:10" s="6" customFormat="1" ht="117" outlineLevel="1" x14ac:dyDescent="0.35">
      <c r="A68" s="7">
        <v>9</v>
      </c>
      <c r="B68" s="21" t="s">
        <v>23</v>
      </c>
      <c r="C68" s="2" t="s">
        <v>203</v>
      </c>
      <c r="D68" s="2" t="s">
        <v>204</v>
      </c>
      <c r="E68" s="2" t="s">
        <v>205</v>
      </c>
      <c r="F68" s="89">
        <v>40000</v>
      </c>
      <c r="G68" s="89">
        <v>40000</v>
      </c>
      <c r="H68" s="89">
        <v>40000</v>
      </c>
      <c r="I68" s="89">
        <v>40000</v>
      </c>
      <c r="J68" s="4"/>
    </row>
    <row r="69" spans="1:10" s="6" customFormat="1" outlineLevel="1" x14ac:dyDescent="0.35">
      <c r="A69" s="493">
        <v>10</v>
      </c>
      <c r="B69" s="497" t="s">
        <v>23</v>
      </c>
      <c r="C69" s="512" t="s">
        <v>206</v>
      </c>
      <c r="D69" s="495" t="s">
        <v>207</v>
      </c>
      <c r="E69" s="2" t="s">
        <v>65</v>
      </c>
      <c r="F69" s="89">
        <v>175000</v>
      </c>
      <c r="G69" s="89"/>
      <c r="H69" s="89"/>
      <c r="I69" s="89"/>
      <c r="J69" s="4"/>
    </row>
    <row r="70" spans="1:10" s="6" customFormat="1" outlineLevel="1" x14ac:dyDescent="0.35">
      <c r="A70" s="494"/>
      <c r="B70" s="498"/>
      <c r="C70" s="513"/>
      <c r="D70" s="496"/>
      <c r="E70" s="2" t="s">
        <v>208</v>
      </c>
      <c r="F70" s="89">
        <v>1484000</v>
      </c>
      <c r="G70" s="89"/>
      <c r="H70" s="89"/>
      <c r="I70" s="89"/>
      <c r="J70" s="4"/>
    </row>
    <row r="71" spans="1:10" s="6" customFormat="1" outlineLevel="1" x14ac:dyDescent="0.35">
      <c r="A71" s="493">
        <v>11</v>
      </c>
      <c r="B71" s="497" t="s">
        <v>23</v>
      </c>
      <c r="C71" s="495" t="s">
        <v>209</v>
      </c>
      <c r="D71" s="495" t="s">
        <v>210</v>
      </c>
      <c r="E71" s="2" t="s">
        <v>211</v>
      </c>
      <c r="F71" s="89">
        <v>181760</v>
      </c>
      <c r="G71" s="89"/>
      <c r="H71" s="89"/>
      <c r="I71" s="4"/>
      <c r="J71" s="4"/>
    </row>
    <row r="72" spans="1:10" s="6" customFormat="1" outlineLevel="1" x14ac:dyDescent="0.35">
      <c r="A72" s="494"/>
      <c r="B72" s="498"/>
      <c r="C72" s="496"/>
      <c r="D72" s="496"/>
      <c r="E72" s="2" t="s">
        <v>66</v>
      </c>
      <c r="F72" s="89">
        <v>219363</v>
      </c>
      <c r="G72" s="89">
        <v>219363</v>
      </c>
      <c r="H72" s="89">
        <v>219363</v>
      </c>
      <c r="I72" s="89">
        <v>219363</v>
      </c>
      <c r="J72" s="4"/>
    </row>
    <row r="73" spans="1:10" s="6" customFormat="1" ht="26" outlineLevel="1" x14ac:dyDescent="0.35">
      <c r="A73" s="7">
        <v>12</v>
      </c>
      <c r="B73" s="21" t="s">
        <v>23</v>
      </c>
      <c r="C73" s="2" t="s">
        <v>212</v>
      </c>
      <c r="D73" s="5" t="s">
        <v>207</v>
      </c>
      <c r="E73" s="2" t="s">
        <v>67</v>
      </c>
      <c r="F73" s="89"/>
      <c r="G73" s="20">
        <v>3444715</v>
      </c>
      <c r="H73" s="84">
        <v>3244715</v>
      </c>
      <c r="I73" s="98">
        <v>3444715</v>
      </c>
      <c r="J73" s="4"/>
    </row>
    <row r="74" spans="1:10" s="6" customFormat="1" ht="26" outlineLevel="1" x14ac:dyDescent="0.35">
      <c r="A74" s="7">
        <v>13</v>
      </c>
      <c r="B74" s="21" t="s">
        <v>23</v>
      </c>
      <c r="C74" s="2" t="s">
        <v>213</v>
      </c>
      <c r="D74" s="5" t="s">
        <v>207</v>
      </c>
      <c r="E74" s="2" t="s">
        <v>67</v>
      </c>
      <c r="F74" s="89"/>
      <c r="G74" s="20"/>
      <c r="H74" s="84">
        <v>200000</v>
      </c>
      <c r="I74" s="89"/>
      <c r="J74" s="4"/>
    </row>
    <row r="75" spans="1:10" x14ac:dyDescent="0.3">
      <c r="A75" s="457" t="s">
        <v>214</v>
      </c>
      <c r="B75" s="458"/>
      <c r="C75" s="458"/>
      <c r="D75" s="458"/>
      <c r="E75" s="459"/>
      <c r="F75" s="39">
        <f>SUM(F76:F128)</f>
        <v>17108350</v>
      </c>
      <c r="G75" s="39">
        <f>SUM(G76:G128)</f>
        <v>17108350</v>
      </c>
      <c r="H75" s="39">
        <f>SUM(H76:H128)</f>
        <v>17108350</v>
      </c>
      <c r="I75" s="39">
        <f>SUM(I76:I128)</f>
        <v>17108350</v>
      </c>
      <c r="J75" s="1"/>
    </row>
    <row r="76" spans="1:10" s="6" customFormat="1" ht="26" outlineLevel="1" x14ac:dyDescent="0.35">
      <c r="A76" s="7">
        <v>1</v>
      </c>
      <c r="B76" s="21" t="s">
        <v>24</v>
      </c>
      <c r="C76" s="49" t="s">
        <v>217</v>
      </c>
      <c r="D76" s="49" t="s">
        <v>218</v>
      </c>
      <c r="E76" s="49" t="s">
        <v>66</v>
      </c>
      <c r="F76" s="90">
        <v>16600</v>
      </c>
      <c r="G76" s="91">
        <v>66400</v>
      </c>
      <c r="H76" s="91">
        <v>66400</v>
      </c>
      <c r="I76" s="91">
        <v>66400</v>
      </c>
      <c r="J76" s="4"/>
    </row>
    <row r="77" spans="1:10" s="6" customFormat="1" ht="39" outlineLevel="1" x14ac:dyDescent="0.35">
      <c r="A77" s="7">
        <v>2</v>
      </c>
      <c r="B77" s="21" t="s">
        <v>24</v>
      </c>
      <c r="C77" s="49" t="s">
        <v>220</v>
      </c>
      <c r="D77" s="49" t="s">
        <v>218</v>
      </c>
      <c r="E77" s="49" t="s">
        <v>66</v>
      </c>
      <c r="F77" s="90">
        <f>1718+1029+780</f>
        <v>3527</v>
      </c>
      <c r="G77" s="91"/>
      <c r="H77" s="91"/>
      <c r="I77" s="91"/>
      <c r="J77" s="4"/>
    </row>
    <row r="78" spans="1:10" s="6" customFormat="1" ht="39" outlineLevel="1" x14ac:dyDescent="0.35">
      <c r="A78" s="7">
        <v>3</v>
      </c>
      <c r="B78" s="21" t="s">
        <v>24</v>
      </c>
      <c r="C78" s="49" t="s">
        <v>222</v>
      </c>
      <c r="D78" s="49" t="s">
        <v>218</v>
      </c>
      <c r="E78" s="49" t="s">
        <v>66</v>
      </c>
      <c r="F78" s="90">
        <v>626608</v>
      </c>
      <c r="G78" s="91">
        <v>812275</v>
      </c>
      <c r="H78" s="91">
        <v>400955</v>
      </c>
      <c r="I78" s="91">
        <v>235974</v>
      </c>
      <c r="J78" s="4"/>
    </row>
    <row r="79" spans="1:10" s="6" customFormat="1" outlineLevel="1" x14ac:dyDescent="0.35">
      <c r="A79" s="7">
        <v>4</v>
      </c>
      <c r="B79" s="21" t="s">
        <v>24</v>
      </c>
      <c r="C79" s="49" t="s">
        <v>224</v>
      </c>
      <c r="D79" s="49" t="s">
        <v>218</v>
      </c>
      <c r="E79" s="49" t="s">
        <v>66</v>
      </c>
      <c r="F79" s="90">
        <v>30000</v>
      </c>
      <c r="G79" s="91">
        <v>30000</v>
      </c>
      <c r="H79" s="91">
        <v>30000</v>
      </c>
      <c r="I79" s="91">
        <v>30000</v>
      </c>
      <c r="J79" s="4"/>
    </row>
    <row r="80" spans="1:10" s="6" customFormat="1" outlineLevel="1" x14ac:dyDescent="0.35">
      <c r="A80" s="7">
        <v>5</v>
      </c>
      <c r="B80" s="21" t="s">
        <v>24</v>
      </c>
      <c r="C80" s="49" t="s">
        <v>226</v>
      </c>
      <c r="D80" s="49" t="s">
        <v>218</v>
      </c>
      <c r="E80" s="49" t="s">
        <v>66</v>
      </c>
      <c r="F80" s="90">
        <v>24570</v>
      </c>
      <c r="G80" s="91">
        <v>24570</v>
      </c>
      <c r="H80" s="91">
        <v>24570</v>
      </c>
      <c r="I80" s="91">
        <v>24570</v>
      </c>
      <c r="J80" s="4"/>
    </row>
    <row r="81" spans="1:10" s="6" customFormat="1" ht="26" outlineLevel="1" x14ac:dyDescent="0.35">
      <c r="A81" s="7">
        <v>6</v>
      </c>
      <c r="B81" s="21" t="s">
        <v>24</v>
      </c>
      <c r="C81" s="49" t="s">
        <v>228</v>
      </c>
      <c r="D81" s="49" t="s">
        <v>218</v>
      </c>
      <c r="E81" s="49" t="s">
        <v>66</v>
      </c>
      <c r="F81" s="90">
        <v>28700</v>
      </c>
      <c r="G81" s="91">
        <v>28900</v>
      </c>
      <c r="H81" s="91">
        <v>29200</v>
      </c>
      <c r="I81" s="91">
        <v>29200</v>
      </c>
      <c r="J81" s="4"/>
    </row>
    <row r="82" spans="1:10" s="6" customFormat="1" outlineLevel="1" x14ac:dyDescent="0.35">
      <c r="A82" s="7">
        <v>7</v>
      </c>
      <c r="B82" s="21" t="s">
        <v>24</v>
      </c>
      <c r="C82" s="49" t="s">
        <v>229</v>
      </c>
      <c r="D82" s="49" t="s">
        <v>218</v>
      </c>
      <c r="E82" s="49" t="s">
        <v>66</v>
      </c>
      <c r="F82" s="90">
        <v>17805</v>
      </c>
      <c r="G82" s="91">
        <v>21222</v>
      </c>
      <c r="H82" s="91">
        <v>21892</v>
      </c>
      <c r="I82" s="91">
        <v>21889</v>
      </c>
      <c r="J82" s="4"/>
    </row>
    <row r="83" spans="1:10" s="6" customFormat="1" ht="26" outlineLevel="1" x14ac:dyDescent="0.35">
      <c r="A83" s="7">
        <v>8</v>
      </c>
      <c r="B83" s="21" t="s">
        <v>24</v>
      </c>
      <c r="C83" s="49" t="s">
        <v>231</v>
      </c>
      <c r="D83" s="49" t="s">
        <v>218</v>
      </c>
      <c r="E83" s="49" t="s">
        <v>66</v>
      </c>
      <c r="F83" s="90">
        <f>3000</f>
        <v>3000</v>
      </c>
      <c r="G83" s="91">
        <f>3000+75018</f>
        <v>78018</v>
      </c>
      <c r="H83" s="91">
        <v>319037</v>
      </c>
      <c r="I83" s="91">
        <v>403000</v>
      </c>
      <c r="J83" s="2" t="s">
        <v>104</v>
      </c>
    </row>
    <row r="84" spans="1:10" s="6" customFormat="1" ht="26" outlineLevel="1" x14ac:dyDescent="0.35">
      <c r="A84" s="7">
        <v>9</v>
      </c>
      <c r="B84" s="21" t="s">
        <v>24</v>
      </c>
      <c r="C84" s="49" t="s">
        <v>234</v>
      </c>
      <c r="D84" s="49" t="s">
        <v>218</v>
      </c>
      <c r="E84" s="49" t="s">
        <v>68</v>
      </c>
      <c r="F84" s="91"/>
      <c r="G84" s="91">
        <v>62515</v>
      </c>
      <c r="H84" s="91">
        <v>300000</v>
      </c>
      <c r="I84" s="91">
        <v>250000</v>
      </c>
      <c r="J84" s="2" t="s">
        <v>104</v>
      </c>
    </row>
    <row r="85" spans="1:10" s="6" customFormat="1" ht="26" outlineLevel="1" x14ac:dyDescent="0.35">
      <c r="A85" s="7">
        <v>10</v>
      </c>
      <c r="B85" s="21" t="s">
        <v>24</v>
      </c>
      <c r="C85" s="49" t="s">
        <v>236</v>
      </c>
      <c r="D85" s="49" t="s">
        <v>218</v>
      </c>
      <c r="E85" s="49" t="s">
        <v>68</v>
      </c>
      <c r="F85" s="91">
        <v>833328</v>
      </c>
      <c r="G85" s="91">
        <v>460238</v>
      </c>
      <c r="H85" s="91">
        <v>392084</v>
      </c>
      <c r="I85" s="91">
        <v>523105</v>
      </c>
      <c r="J85" s="4"/>
    </row>
    <row r="86" spans="1:10" s="6" customFormat="1" outlineLevel="1" x14ac:dyDescent="0.35">
      <c r="A86" s="7">
        <v>11</v>
      </c>
      <c r="B86" s="21" t="s">
        <v>24</v>
      </c>
      <c r="C86" s="49" t="s">
        <v>238</v>
      </c>
      <c r="D86" s="49" t="s">
        <v>239</v>
      </c>
      <c r="E86" s="49" t="s">
        <v>65</v>
      </c>
      <c r="F86" s="90">
        <v>51700</v>
      </c>
      <c r="G86" s="91">
        <v>51700</v>
      </c>
      <c r="H86" s="91">
        <v>51700</v>
      </c>
      <c r="I86" s="91">
        <v>51700</v>
      </c>
      <c r="J86" s="4"/>
    </row>
    <row r="87" spans="1:10" s="6" customFormat="1" ht="39" outlineLevel="1" x14ac:dyDescent="0.35">
      <c r="A87" s="7">
        <v>12</v>
      </c>
      <c r="B87" s="21" t="s">
        <v>24</v>
      </c>
      <c r="C87" s="49" t="s">
        <v>241</v>
      </c>
      <c r="D87" s="49" t="s">
        <v>239</v>
      </c>
      <c r="E87" s="49" t="s">
        <v>66</v>
      </c>
      <c r="F87" s="90">
        <v>33931</v>
      </c>
      <c r="G87" s="91">
        <v>33931</v>
      </c>
      <c r="H87" s="91">
        <v>33931</v>
      </c>
      <c r="I87" s="91">
        <v>33931</v>
      </c>
      <c r="J87" s="2" t="s">
        <v>1090</v>
      </c>
    </row>
    <row r="88" spans="1:10" s="6" customFormat="1" ht="26" outlineLevel="1" x14ac:dyDescent="0.35">
      <c r="A88" s="7">
        <v>13</v>
      </c>
      <c r="B88" s="21" t="s">
        <v>24</v>
      </c>
      <c r="C88" s="49" t="s">
        <v>243</v>
      </c>
      <c r="D88" s="49" t="s">
        <v>239</v>
      </c>
      <c r="E88" s="49" t="s">
        <v>68</v>
      </c>
      <c r="F88" s="91">
        <v>133000</v>
      </c>
      <c r="G88" s="91">
        <v>133000</v>
      </c>
      <c r="H88" s="91">
        <v>133000</v>
      </c>
      <c r="I88" s="91">
        <v>133000</v>
      </c>
      <c r="J88" s="4"/>
    </row>
    <row r="89" spans="1:10" s="6" customFormat="1" ht="26" outlineLevel="1" x14ac:dyDescent="0.35">
      <c r="A89" s="7">
        <v>14</v>
      </c>
      <c r="B89" s="21" t="s">
        <v>24</v>
      </c>
      <c r="C89" s="49" t="s">
        <v>238</v>
      </c>
      <c r="D89" s="49" t="s">
        <v>245</v>
      </c>
      <c r="E89" s="49" t="s">
        <v>65</v>
      </c>
      <c r="F89" s="90">
        <v>8805160</v>
      </c>
      <c r="G89" s="91">
        <v>8805160</v>
      </c>
      <c r="H89" s="91">
        <v>8805160</v>
      </c>
      <c r="I89" s="91">
        <v>8805160</v>
      </c>
      <c r="J89" s="4"/>
    </row>
    <row r="90" spans="1:10" s="6" customFormat="1" ht="26" outlineLevel="1" x14ac:dyDescent="0.35">
      <c r="A90" s="7">
        <v>16</v>
      </c>
      <c r="B90" s="21" t="s">
        <v>24</v>
      </c>
      <c r="C90" s="49" t="s">
        <v>248</v>
      </c>
      <c r="D90" s="49" t="s">
        <v>245</v>
      </c>
      <c r="E90" s="49" t="s">
        <v>65</v>
      </c>
      <c r="F90" s="90">
        <v>203277</v>
      </c>
      <c r="G90" s="91">
        <v>203277</v>
      </c>
      <c r="H90" s="91">
        <v>203277</v>
      </c>
      <c r="I90" s="91">
        <v>203277</v>
      </c>
      <c r="J90" s="4"/>
    </row>
    <row r="91" spans="1:10" s="6" customFormat="1" ht="39" outlineLevel="1" x14ac:dyDescent="0.35">
      <c r="A91" s="7">
        <v>17</v>
      </c>
      <c r="B91" s="21" t="s">
        <v>24</v>
      </c>
      <c r="C91" s="49" t="s">
        <v>238</v>
      </c>
      <c r="D91" s="49" t="s">
        <v>245</v>
      </c>
      <c r="E91" s="49" t="s">
        <v>65</v>
      </c>
      <c r="F91" s="90">
        <v>133362</v>
      </c>
      <c r="G91" s="91">
        <v>133362</v>
      </c>
      <c r="H91" s="91">
        <v>133362</v>
      </c>
      <c r="I91" s="91">
        <v>133362</v>
      </c>
      <c r="J91" s="2" t="s">
        <v>250</v>
      </c>
    </row>
    <row r="92" spans="1:10" s="6" customFormat="1" ht="39" outlineLevel="1" x14ac:dyDescent="0.35">
      <c r="A92" s="7">
        <v>19</v>
      </c>
      <c r="B92" s="21" t="s">
        <v>24</v>
      </c>
      <c r="C92" s="49" t="s">
        <v>238</v>
      </c>
      <c r="D92" s="49" t="s">
        <v>245</v>
      </c>
      <c r="E92" s="49" t="s">
        <v>65</v>
      </c>
      <c r="F92" s="90">
        <v>120108</v>
      </c>
      <c r="G92" s="91">
        <v>120108</v>
      </c>
      <c r="H92" s="91">
        <v>120108</v>
      </c>
      <c r="I92" s="91">
        <v>120108</v>
      </c>
      <c r="J92" s="2" t="s">
        <v>253</v>
      </c>
    </row>
    <row r="93" spans="1:10" s="6" customFormat="1" ht="39" outlineLevel="1" x14ac:dyDescent="0.35">
      <c r="A93" s="7">
        <v>20</v>
      </c>
      <c r="B93" s="21" t="s">
        <v>24</v>
      </c>
      <c r="C93" s="49" t="s">
        <v>255</v>
      </c>
      <c r="D93" s="49" t="s">
        <v>245</v>
      </c>
      <c r="E93" s="49" t="s">
        <v>66</v>
      </c>
      <c r="F93" s="90">
        <v>14893</v>
      </c>
      <c r="G93" s="91">
        <v>11950</v>
      </c>
      <c r="H93" s="91">
        <v>11950</v>
      </c>
      <c r="I93" s="91">
        <v>11950</v>
      </c>
      <c r="J93" s="2" t="s">
        <v>253</v>
      </c>
    </row>
    <row r="94" spans="1:10" s="6" customFormat="1" ht="26" outlineLevel="1" x14ac:dyDescent="0.35">
      <c r="A94" s="7">
        <v>21</v>
      </c>
      <c r="B94" s="21" t="s">
        <v>24</v>
      </c>
      <c r="C94" s="49" t="s">
        <v>257</v>
      </c>
      <c r="D94" s="49" t="s">
        <v>245</v>
      </c>
      <c r="E94" s="49" t="s">
        <v>66</v>
      </c>
      <c r="F94" s="90">
        <v>227661</v>
      </c>
      <c r="G94" s="91">
        <v>227661</v>
      </c>
      <c r="H94" s="91">
        <v>227661</v>
      </c>
      <c r="I94" s="91">
        <v>227661</v>
      </c>
      <c r="J94" s="4"/>
    </row>
    <row r="95" spans="1:10" s="6" customFormat="1" ht="26" outlineLevel="1" x14ac:dyDescent="0.35">
      <c r="A95" s="7">
        <v>22</v>
      </c>
      <c r="B95" s="21" t="s">
        <v>24</v>
      </c>
      <c r="C95" s="49" t="s">
        <v>226</v>
      </c>
      <c r="D95" s="49" t="s">
        <v>245</v>
      </c>
      <c r="E95" s="49" t="s">
        <v>66</v>
      </c>
      <c r="F95" s="90">
        <v>107000</v>
      </c>
      <c r="G95" s="91">
        <v>107000</v>
      </c>
      <c r="H95" s="91">
        <v>107000</v>
      </c>
      <c r="I95" s="91">
        <v>107000</v>
      </c>
      <c r="J95" s="4"/>
    </row>
    <row r="96" spans="1:10" s="6" customFormat="1" ht="26" outlineLevel="1" x14ac:dyDescent="0.35">
      <c r="A96" s="7">
        <v>23</v>
      </c>
      <c r="B96" s="21" t="s">
        <v>24</v>
      </c>
      <c r="C96" s="49" t="s">
        <v>224</v>
      </c>
      <c r="D96" s="49" t="s">
        <v>245</v>
      </c>
      <c r="E96" s="49" t="s">
        <v>66</v>
      </c>
      <c r="F96" s="90">
        <v>92125</v>
      </c>
      <c r="G96" s="91">
        <v>92125</v>
      </c>
      <c r="H96" s="91">
        <v>92125</v>
      </c>
      <c r="I96" s="91">
        <v>92125</v>
      </c>
      <c r="J96" s="4"/>
    </row>
    <row r="97" spans="1:10" s="6" customFormat="1" ht="26" outlineLevel="1" x14ac:dyDescent="0.35">
      <c r="A97" s="7">
        <v>24</v>
      </c>
      <c r="B97" s="21" t="s">
        <v>24</v>
      </c>
      <c r="C97" s="49" t="s">
        <v>261</v>
      </c>
      <c r="D97" s="49" t="s">
        <v>245</v>
      </c>
      <c r="E97" s="49" t="s">
        <v>66</v>
      </c>
      <c r="F97" s="90">
        <f>190000+121000+400000+237982</f>
        <v>948982</v>
      </c>
      <c r="G97" s="91">
        <f>F97</f>
        <v>948982</v>
      </c>
      <c r="H97" s="91">
        <f t="shared" ref="H97" si="6">G97</f>
        <v>948982</v>
      </c>
      <c r="I97" s="91">
        <f>H97</f>
        <v>948982</v>
      </c>
      <c r="J97" s="4"/>
    </row>
    <row r="98" spans="1:10" s="6" customFormat="1" ht="26" outlineLevel="1" x14ac:dyDescent="0.35">
      <c r="A98" s="7">
        <v>25</v>
      </c>
      <c r="B98" s="21" t="s">
        <v>24</v>
      </c>
      <c r="C98" s="49" t="s">
        <v>263</v>
      </c>
      <c r="D98" s="49" t="s">
        <v>245</v>
      </c>
      <c r="E98" s="49" t="s">
        <v>66</v>
      </c>
      <c r="F98" s="90">
        <f>200000+233219+151200+136036</f>
        <v>720455</v>
      </c>
      <c r="G98" s="91">
        <v>743455</v>
      </c>
      <c r="H98" s="91">
        <v>569255</v>
      </c>
      <c r="I98" s="91">
        <v>569255</v>
      </c>
      <c r="J98" s="4"/>
    </row>
    <row r="99" spans="1:10" s="6" customFormat="1" ht="26" outlineLevel="1" x14ac:dyDescent="0.35">
      <c r="A99" s="7">
        <v>26</v>
      </c>
      <c r="B99" s="21" t="s">
        <v>24</v>
      </c>
      <c r="C99" s="49" t="s">
        <v>265</v>
      </c>
      <c r="D99" s="49" t="s">
        <v>245</v>
      </c>
      <c r="E99" s="49" t="s">
        <v>66</v>
      </c>
      <c r="F99" s="90">
        <v>409000</v>
      </c>
      <c r="G99" s="91">
        <v>409000</v>
      </c>
      <c r="H99" s="91">
        <v>409000</v>
      </c>
      <c r="I99" s="91">
        <v>409000</v>
      </c>
      <c r="J99" s="4"/>
    </row>
    <row r="100" spans="1:10" s="6" customFormat="1" ht="26" outlineLevel="1" x14ac:dyDescent="0.35">
      <c r="A100" s="7">
        <v>27</v>
      </c>
      <c r="B100" s="21" t="s">
        <v>24</v>
      </c>
      <c r="C100" s="49" t="s">
        <v>248</v>
      </c>
      <c r="D100" s="49" t="s">
        <v>245</v>
      </c>
      <c r="E100" s="49" t="s">
        <v>66</v>
      </c>
      <c r="F100" s="90">
        <v>94393</v>
      </c>
      <c r="G100" s="91">
        <v>94393</v>
      </c>
      <c r="H100" s="91">
        <v>94393</v>
      </c>
      <c r="I100" s="91">
        <v>94393</v>
      </c>
      <c r="J100" s="4"/>
    </row>
    <row r="101" spans="1:10" s="6" customFormat="1" ht="39" outlineLevel="1" x14ac:dyDescent="0.35">
      <c r="A101" s="7">
        <v>28</v>
      </c>
      <c r="B101" s="21" t="s">
        <v>24</v>
      </c>
      <c r="C101" s="49" t="s">
        <v>268</v>
      </c>
      <c r="D101" s="49" t="s">
        <v>245</v>
      </c>
      <c r="E101" s="49" t="s">
        <v>68</v>
      </c>
      <c r="F101" s="91">
        <v>3600</v>
      </c>
      <c r="G101" s="91"/>
      <c r="H101" s="91"/>
      <c r="I101" s="91"/>
      <c r="J101" s="2" t="s">
        <v>253</v>
      </c>
    </row>
    <row r="102" spans="1:10" s="6" customFormat="1" ht="26" outlineLevel="1" x14ac:dyDescent="0.35">
      <c r="A102" s="7">
        <v>29</v>
      </c>
      <c r="B102" s="21" t="s">
        <v>24</v>
      </c>
      <c r="C102" s="49" t="s">
        <v>270</v>
      </c>
      <c r="D102" s="49" t="s">
        <v>245</v>
      </c>
      <c r="E102" s="49" t="s">
        <v>68</v>
      </c>
      <c r="F102" s="91">
        <v>619934</v>
      </c>
      <c r="G102" s="91">
        <v>1353477</v>
      </c>
      <c r="H102" s="91">
        <v>1527677</v>
      </c>
      <c r="I102" s="91">
        <v>1527677</v>
      </c>
      <c r="J102" s="4"/>
    </row>
    <row r="103" spans="1:10" s="6" customFormat="1" ht="26" outlineLevel="1" x14ac:dyDescent="0.35">
      <c r="A103" s="7">
        <v>30</v>
      </c>
      <c r="B103" s="21" t="s">
        <v>24</v>
      </c>
      <c r="C103" s="49" t="s">
        <v>272</v>
      </c>
      <c r="D103" s="49" t="s">
        <v>245</v>
      </c>
      <c r="E103" s="49" t="s">
        <v>68</v>
      </c>
      <c r="F103" s="91">
        <v>250000</v>
      </c>
      <c r="G103" s="91"/>
      <c r="H103" s="91"/>
      <c r="I103" s="91"/>
      <c r="J103" s="4"/>
    </row>
    <row r="104" spans="1:10" s="6" customFormat="1" ht="26" outlineLevel="1" x14ac:dyDescent="0.35">
      <c r="A104" s="7">
        <v>31</v>
      </c>
      <c r="B104" s="21" t="s">
        <v>24</v>
      </c>
      <c r="C104" s="49" t="s">
        <v>274</v>
      </c>
      <c r="D104" s="49" t="s">
        <v>245</v>
      </c>
      <c r="E104" s="49" t="s">
        <v>68</v>
      </c>
      <c r="F104" s="91">
        <v>500000</v>
      </c>
      <c r="G104" s="91"/>
      <c r="H104" s="91"/>
      <c r="I104" s="91"/>
      <c r="J104" s="4"/>
    </row>
    <row r="105" spans="1:10" s="6" customFormat="1" ht="39" outlineLevel="1" x14ac:dyDescent="0.35">
      <c r="A105" s="7">
        <v>32</v>
      </c>
      <c r="B105" s="21" t="s">
        <v>24</v>
      </c>
      <c r="C105" s="49" t="s">
        <v>276</v>
      </c>
      <c r="D105" s="49" t="s">
        <v>245</v>
      </c>
      <c r="E105" s="49" t="s">
        <v>68</v>
      </c>
      <c r="F105" s="91">
        <v>139150</v>
      </c>
      <c r="G105" s="91">
        <v>139150</v>
      </c>
      <c r="H105" s="91">
        <v>139150</v>
      </c>
      <c r="I105" s="91">
        <v>139150</v>
      </c>
      <c r="J105" s="4"/>
    </row>
    <row r="106" spans="1:10" s="6" customFormat="1" ht="39" outlineLevel="1" x14ac:dyDescent="0.35">
      <c r="A106" s="7">
        <v>33</v>
      </c>
      <c r="B106" s="21" t="s">
        <v>24</v>
      </c>
      <c r="C106" s="49" t="s">
        <v>224</v>
      </c>
      <c r="D106" s="49" t="s">
        <v>278</v>
      </c>
      <c r="E106" s="49" t="s">
        <v>66</v>
      </c>
      <c r="F106" s="92">
        <v>7000</v>
      </c>
      <c r="G106" s="92">
        <f>F106</f>
        <v>7000</v>
      </c>
      <c r="H106" s="92">
        <f t="shared" ref="H106:H109" si="7">G106</f>
        <v>7000</v>
      </c>
      <c r="I106" s="92">
        <f>H106</f>
        <v>7000</v>
      </c>
      <c r="J106" s="4"/>
    </row>
    <row r="107" spans="1:10" s="6" customFormat="1" ht="39" outlineLevel="1" x14ac:dyDescent="0.35">
      <c r="A107" s="7">
        <v>34</v>
      </c>
      <c r="B107" s="21" t="s">
        <v>24</v>
      </c>
      <c r="C107" s="49" t="s">
        <v>226</v>
      </c>
      <c r="D107" s="49" t="s">
        <v>278</v>
      </c>
      <c r="E107" s="49" t="s">
        <v>66</v>
      </c>
      <c r="F107" s="92">
        <v>5000</v>
      </c>
      <c r="G107" s="92">
        <f>F107</f>
        <v>5000</v>
      </c>
      <c r="H107" s="92">
        <f t="shared" si="7"/>
        <v>5000</v>
      </c>
      <c r="I107" s="92">
        <f>H107</f>
        <v>5000</v>
      </c>
      <c r="J107" s="4"/>
    </row>
    <row r="108" spans="1:10" s="6" customFormat="1" ht="39" outlineLevel="1" x14ac:dyDescent="0.35">
      <c r="A108" s="7">
        <v>35</v>
      </c>
      <c r="B108" s="21" t="s">
        <v>24</v>
      </c>
      <c r="C108" s="49" t="s">
        <v>261</v>
      </c>
      <c r="D108" s="49" t="s">
        <v>278</v>
      </c>
      <c r="E108" s="49" t="s">
        <v>66</v>
      </c>
      <c r="F108" s="92">
        <v>32000</v>
      </c>
      <c r="G108" s="92">
        <f>F108</f>
        <v>32000</v>
      </c>
      <c r="H108" s="92">
        <f t="shared" si="7"/>
        <v>32000</v>
      </c>
      <c r="I108" s="92">
        <f>H108</f>
        <v>32000</v>
      </c>
      <c r="J108" s="4"/>
    </row>
    <row r="109" spans="1:10" s="6" customFormat="1" ht="39" outlineLevel="1" x14ac:dyDescent="0.35">
      <c r="A109" s="7">
        <v>36</v>
      </c>
      <c r="B109" s="21" t="s">
        <v>24</v>
      </c>
      <c r="C109" s="49" t="s">
        <v>280</v>
      </c>
      <c r="D109" s="49" t="s">
        <v>278</v>
      </c>
      <c r="E109" s="49" t="s">
        <v>66</v>
      </c>
      <c r="F109" s="92">
        <v>10202</v>
      </c>
      <c r="G109" s="92">
        <f>F109</f>
        <v>10202</v>
      </c>
      <c r="H109" s="92">
        <f t="shared" si="7"/>
        <v>10202</v>
      </c>
      <c r="I109" s="92">
        <f>H109</f>
        <v>10202</v>
      </c>
      <c r="J109" s="4"/>
    </row>
    <row r="110" spans="1:10" s="6" customFormat="1" ht="39" outlineLevel="1" x14ac:dyDescent="0.35">
      <c r="A110" s="7">
        <v>37</v>
      </c>
      <c r="B110" s="21" t="s">
        <v>24</v>
      </c>
      <c r="C110" s="49" t="s">
        <v>281</v>
      </c>
      <c r="D110" s="49" t="s">
        <v>278</v>
      </c>
      <c r="E110" s="49" t="s">
        <v>66</v>
      </c>
      <c r="F110" s="92">
        <v>50000</v>
      </c>
      <c r="G110" s="92">
        <v>50000</v>
      </c>
      <c r="H110" s="92">
        <v>50000</v>
      </c>
      <c r="I110" s="92">
        <v>50000</v>
      </c>
      <c r="J110" s="4"/>
    </row>
    <row r="111" spans="1:10" s="6" customFormat="1" ht="39" outlineLevel="1" x14ac:dyDescent="0.35">
      <c r="A111" s="7">
        <v>38</v>
      </c>
      <c r="B111" s="21" t="s">
        <v>24</v>
      </c>
      <c r="C111" s="49" t="s">
        <v>283</v>
      </c>
      <c r="D111" s="49" t="s">
        <v>278</v>
      </c>
      <c r="E111" s="49" t="s">
        <v>66</v>
      </c>
      <c r="F111" s="92">
        <v>10000</v>
      </c>
      <c r="G111" s="92">
        <v>10000</v>
      </c>
      <c r="H111" s="92">
        <v>10000</v>
      </c>
      <c r="I111" s="92">
        <v>10000</v>
      </c>
      <c r="J111" s="4"/>
    </row>
    <row r="112" spans="1:10" s="6" customFormat="1" ht="39" outlineLevel="1" x14ac:dyDescent="0.35">
      <c r="A112" s="7">
        <v>39</v>
      </c>
      <c r="B112" s="21" t="s">
        <v>24</v>
      </c>
      <c r="C112" s="49" t="s">
        <v>285</v>
      </c>
      <c r="D112" s="49" t="s">
        <v>278</v>
      </c>
      <c r="E112" s="49" t="s">
        <v>68</v>
      </c>
      <c r="F112" s="92">
        <v>30000</v>
      </c>
      <c r="G112" s="92">
        <f>F112</f>
        <v>30000</v>
      </c>
      <c r="H112" s="92">
        <f t="shared" ref="H112" si="8">G112</f>
        <v>30000</v>
      </c>
      <c r="I112" s="92">
        <f>H112</f>
        <v>30000</v>
      </c>
      <c r="J112" s="4"/>
    </row>
    <row r="113" spans="1:10" s="6" customFormat="1" ht="26" outlineLevel="1" x14ac:dyDescent="0.35">
      <c r="A113" s="7">
        <v>40</v>
      </c>
      <c r="B113" s="21" t="s">
        <v>24</v>
      </c>
      <c r="C113" s="49" t="s">
        <v>238</v>
      </c>
      <c r="D113" s="49" t="s">
        <v>287</v>
      </c>
      <c r="E113" s="49" t="s">
        <v>65</v>
      </c>
      <c r="F113" s="93">
        <v>60635</v>
      </c>
      <c r="G113" s="94">
        <f>F113</f>
        <v>60635</v>
      </c>
      <c r="H113" s="94">
        <f t="shared" ref="H113" si="9">G113</f>
        <v>60635</v>
      </c>
      <c r="I113" s="94">
        <f>H113</f>
        <v>60635</v>
      </c>
      <c r="J113" s="4"/>
    </row>
    <row r="114" spans="1:10" s="6" customFormat="1" ht="26" outlineLevel="1" x14ac:dyDescent="0.35">
      <c r="A114" s="7">
        <v>41</v>
      </c>
      <c r="B114" s="21" t="s">
        <v>24</v>
      </c>
      <c r="C114" s="49" t="s">
        <v>261</v>
      </c>
      <c r="D114" s="49" t="s">
        <v>287</v>
      </c>
      <c r="E114" s="49" t="s">
        <v>66</v>
      </c>
      <c r="F114" s="90">
        <f>2050+1350</f>
        <v>3400</v>
      </c>
      <c r="G114" s="91">
        <f t="shared" ref="G114:I114" si="10">2050+1350</f>
        <v>3400</v>
      </c>
      <c r="H114" s="91">
        <f t="shared" si="10"/>
        <v>3400</v>
      </c>
      <c r="I114" s="91">
        <f t="shared" si="10"/>
        <v>3400</v>
      </c>
      <c r="J114" s="4"/>
    </row>
    <row r="115" spans="1:10" s="6" customFormat="1" ht="26" outlineLevel="1" x14ac:dyDescent="0.35">
      <c r="A115" s="7">
        <v>42</v>
      </c>
      <c r="B115" s="21" t="s">
        <v>24</v>
      </c>
      <c r="C115" s="49" t="s">
        <v>290</v>
      </c>
      <c r="D115" s="49" t="s">
        <v>287</v>
      </c>
      <c r="E115" s="49" t="s">
        <v>66</v>
      </c>
      <c r="F115" s="90">
        <f>200+875+300+597</f>
        <v>1972</v>
      </c>
      <c r="G115" s="91">
        <f t="shared" ref="G115:I115" si="11">200+875+300+597</f>
        <v>1972</v>
      </c>
      <c r="H115" s="91">
        <f t="shared" si="11"/>
        <v>1972</v>
      </c>
      <c r="I115" s="91">
        <f t="shared" si="11"/>
        <v>1972</v>
      </c>
      <c r="J115" s="4"/>
    </row>
    <row r="116" spans="1:10" s="6" customFormat="1" ht="26" outlineLevel="1" x14ac:dyDescent="0.35">
      <c r="A116" s="7">
        <v>43</v>
      </c>
      <c r="B116" s="21" t="s">
        <v>24</v>
      </c>
      <c r="C116" s="49" t="s">
        <v>292</v>
      </c>
      <c r="D116" s="49" t="s">
        <v>287</v>
      </c>
      <c r="E116" s="49" t="s">
        <v>66</v>
      </c>
      <c r="F116" s="90">
        <f>60+165</f>
        <v>225</v>
      </c>
      <c r="G116" s="91">
        <f t="shared" ref="G116:I116" si="12">60+165</f>
        <v>225</v>
      </c>
      <c r="H116" s="91">
        <f t="shared" si="12"/>
        <v>225</v>
      </c>
      <c r="I116" s="91">
        <f t="shared" si="12"/>
        <v>225</v>
      </c>
      <c r="J116" s="4"/>
    </row>
    <row r="117" spans="1:10" s="6" customFormat="1" ht="26" outlineLevel="1" x14ac:dyDescent="0.35">
      <c r="A117" s="7">
        <v>44</v>
      </c>
      <c r="B117" s="21" t="s">
        <v>24</v>
      </c>
      <c r="C117" s="49" t="s">
        <v>294</v>
      </c>
      <c r="D117" s="49" t="s">
        <v>287</v>
      </c>
      <c r="E117" s="49" t="s">
        <v>66</v>
      </c>
      <c r="F117" s="90">
        <f>10205+1000+10000-10871</f>
        <v>10334</v>
      </c>
      <c r="G117" s="91">
        <f t="shared" ref="G117:I117" si="13">10205+1000+10000</f>
        <v>21205</v>
      </c>
      <c r="H117" s="91">
        <f t="shared" si="13"/>
        <v>21205</v>
      </c>
      <c r="I117" s="91">
        <f t="shared" si="13"/>
        <v>21205</v>
      </c>
      <c r="J117" s="4"/>
    </row>
    <row r="118" spans="1:10" s="6" customFormat="1" ht="26" outlineLevel="1" x14ac:dyDescent="0.35">
      <c r="A118" s="7">
        <v>45</v>
      </c>
      <c r="B118" s="21" t="s">
        <v>24</v>
      </c>
      <c r="C118" s="49" t="s">
        <v>296</v>
      </c>
      <c r="D118" s="49" t="s">
        <v>287</v>
      </c>
      <c r="E118" s="49" t="s">
        <v>68</v>
      </c>
      <c r="F118" s="93">
        <v>10871</v>
      </c>
      <c r="G118" s="94"/>
      <c r="H118" s="94"/>
      <c r="I118" s="94"/>
      <c r="J118" s="4"/>
    </row>
    <row r="119" spans="1:10" s="6" customFormat="1" ht="39" outlineLevel="1" x14ac:dyDescent="0.35">
      <c r="A119" s="7">
        <v>46</v>
      </c>
      <c r="B119" s="21" t="s">
        <v>24</v>
      </c>
      <c r="C119" s="49" t="s">
        <v>298</v>
      </c>
      <c r="D119" s="49" t="s">
        <v>299</v>
      </c>
      <c r="E119" s="49" t="s">
        <v>67</v>
      </c>
      <c r="F119" s="94">
        <v>7495</v>
      </c>
      <c r="G119" s="94">
        <f>F119</f>
        <v>7495</v>
      </c>
      <c r="H119" s="94">
        <f t="shared" ref="H119" si="14">G119</f>
        <v>7495</v>
      </c>
      <c r="I119" s="94">
        <f>H119</f>
        <v>7495</v>
      </c>
      <c r="J119" s="4"/>
    </row>
    <row r="120" spans="1:10" s="6" customFormat="1" ht="26" outlineLevel="1" x14ac:dyDescent="0.35">
      <c r="A120" s="7">
        <v>47</v>
      </c>
      <c r="B120" s="21" t="s">
        <v>24</v>
      </c>
      <c r="C120" s="49" t="s">
        <v>238</v>
      </c>
      <c r="D120" s="49" t="s">
        <v>210</v>
      </c>
      <c r="E120" s="49" t="s">
        <v>65</v>
      </c>
      <c r="F120" s="93">
        <v>198683</v>
      </c>
      <c r="G120" s="94">
        <v>198683</v>
      </c>
      <c r="H120" s="94">
        <v>198683</v>
      </c>
      <c r="I120" s="94">
        <v>198683</v>
      </c>
      <c r="J120" s="4"/>
    </row>
    <row r="121" spans="1:10" s="6" customFormat="1" ht="26" outlineLevel="1" x14ac:dyDescent="0.35">
      <c r="A121" s="7">
        <v>48</v>
      </c>
      <c r="B121" s="21" t="s">
        <v>24</v>
      </c>
      <c r="C121" s="49" t="s">
        <v>224</v>
      </c>
      <c r="D121" s="49" t="s">
        <v>210</v>
      </c>
      <c r="E121" s="49" t="s">
        <v>66</v>
      </c>
      <c r="F121" s="93">
        <v>160940</v>
      </c>
      <c r="G121" s="94">
        <v>160940</v>
      </c>
      <c r="H121" s="94">
        <v>160940</v>
      </c>
      <c r="I121" s="94">
        <v>160940</v>
      </c>
      <c r="J121" s="4"/>
    </row>
    <row r="122" spans="1:10" s="6" customFormat="1" ht="26" outlineLevel="1" x14ac:dyDescent="0.35">
      <c r="A122" s="7">
        <v>49</v>
      </c>
      <c r="B122" s="21" t="s">
        <v>24</v>
      </c>
      <c r="C122" s="49" t="s">
        <v>302</v>
      </c>
      <c r="D122" s="49" t="s">
        <v>210</v>
      </c>
      <c r="E122" s="49" t="s">
        <v>66</v>
      </c>
      <c r="F122" s="93">
        <v>195361</v>
      </c>
      <c r="G122" s="94">
        <v>347973</v>
      </c>
      <c r="H122" s="94">
        <f>G122</f>
        <v>347973</v>
      </c>
      <c r="I122" s="94">
        <f>H122</f>
        <v>347973</v>
      </c>
      <c r="J122" s="4"/>
    </row>
    <row r="123" spans="1:10" s="6" customFormat="1" ht="26" outlineLevel="1" x14ac:dyDescent="0.35">
      <c r="A123" s="7">
        <v>50</v>
      </c>
      <c r="B123" s="21" t="s">
        <v>24</v>
      </c>
      <c r="C123" s="49" t="s">
        <v>261</v>
      </c>
      <c r="D123" s="49" t="s">
        <v>210</v>
      </c>
      <c r="E123" s="49" t="s">
        <v>66</v>
      </c>
      <c r="F123" s="93">
        <f>107800+40467</f>
        <v>148267</v>
      </c>
      <c r="G123" s="94">
        <f>F123</f>
        <v>148267</v>
      </c>
      <c r="H123" s="94">
        <f t="shared" ref="H123:H124" si="15">G123</f>
        <v>148267</v>
      </c>
      <c r="I123" s="94">
        <f>H123</f>
        <v>148267</v>
      </c>
      <c r="J123" s="4"/>
    </row>
    <row r="124" spans="1:10" s="6" customFormat="1" ht="26" outlineLevel="1" x14ac:dyDescent="0.35">
      <c r="A124" s="7">
        <v>51</v>
      </c>
      <c r="B124" s="21" t="s">
        <v>24</v>
      </c>
      <c r="C124" s="49" t="s">
        <v>280</v>
      </c>
      <c r="D124" s="49" t="s">
        <v>210</v>
      </c>
      <c r="E124" s="49" t="s">
        <v>66</v>
      </c>
      <c r="F124" s="93">
        <f>243211+32512</f>
        <v>275723</v>
      </c>
      <c r="G124" s="94">
        <v>285300</v>
      </c>
      <c r="H124" s="94">
        <f t="shared" si="15"/>
        <v>285300</v>
      </c>
      <c r="I124" s="94">
        <f>H124</f>
        <v>285300</v>
      </c>
      <c r="J124" s="4"/>
    </row>
    <row r="125" spans="1:10" s="6" customFormat="1" ht="26" outlineLevel="1" x14ac:dyDescent="0.35">
      <c r="A125" s="7">
        <v>52</v>
      </c>
      <c r="B125" s="21" t="s">
        <v>24</v>
      </c>
      <c r="C125" s="49" t="s">
        <v>226</v>
      </c>
      <c r="D125" s="49" t="s">
        <v>210</v>
      </c>
      <c r="E125" s="49" t="s">
        <v>66</v>
      </c>
      <c r="F125" s="93">
        <v>50000</v>
      </c>
      <c r="G125" s="94">
        <v>50000</v>
      </c>
      <c r="H125" s="94">
        <v>50000</v>
      </c>
      <c r="I125" s="94">
        <v>50000</v>
      </c>
      <c r="J125" s="4"/>
    </row>
    <row r="126" spans="1:10" s="6" customFormat="1" ht="26" outlineLevel="1" x14ac:dyDescent="0.35">
      <c r="A126" s="7">
        <v>53</v>
      </c>
      <c r="B126" s="21" t="s">
        <v>24</v>
      </c>
      <c r="C126" s="49" t="s">
        <v>306</v>
      </c>
      <c r="D126" s="49" t="s">
        <v>210</v>
      </c>
      <c r="E126" s="49" t="s">
        <v>66</v>
      </c>
      <c r="F126" s="93">
        <f>22130+7826</f>
        <v>29956</v>
      </c>
      <c r="G126" s="94">
        <v>32500</v>
      </c>
      <c r="H126" s="94">
        <v>32500</v>
      </c>
      <c r="I126" s="94">
        <v>32500</v>
      </c>
      <c r="J126" s="4"/>
    </row>
    <row r="127" spans="1:10" s="6" customFormat="1" ht="26" outlineLevel="1" x14ac:dyDescent="0.35">
      <c r="A127" s="7">
        <v>54</v>
      </c>
      <c r="B127" s="21" t="s">
        <v>24</v>
      </c>
      <c r="C127" s="49" t="s">
        <v>308</v>
      </c>
      <c r="D127" s="49" t="s">
        <v>210</v>
      </c>
      <c r="E127" s="49" t="s">
        <v>68</v>
      </c>
      <c r="F127" s="94">
        <v>28000</v>
      </c>
      <c r="G127" s="94">
        <f>F127</f>
        <v>28000</v>
      </c>
      <c r="H127" s="94">
        <f t="shared" ref="H127" si="16">G127</f>
        <v>28000</v>
      </c>
      <c r="I127" s="94">
        <f>H127</f>
        <v>28000</v>
      </c>
      <c r="J127" s="4"/>
    </row>
    <row r="128" spans="1:10" s="6" customFormat="1" ht="26" outlineLevel="1" x14ac:dyDescent="0.35">
      <c r="A128" s="7">
        <v>55</v>
      </c>
      <c r="B128" s="21" t="s">
        <v>24</v>
      </c>
      <c r="C128" s="49" t="s">
        <v>310</v>
      </c>
      <c r="D128" s="49" t="s">
        <v>210</v>
      </c>
      <c r="E128" s="49" t="s">
        <v>68</v>
      </c>
      <c r="F128" s="94">
        <v>590417</v>
      </c>
      <c r="G128" s="94">
        <f>439684-14000</f>
        <v>425684</v>
      </c>
      <c r="H128" s="94">
        <f>G128</f>
        <v>425684</v>
      </c>
      <c r="I128" s="94">
        <f>H128</f>
        <v>425684</v>
      </c>
      <c r="J128" s="4"/>
    </row>
    <row r="129" spans="1:10" x14ac:dyDescent="0.3">
      <c r="A129" s="457" t="s">
        <v>312</v>
      </c>
      <c r="B129" s="458"/>
      <c r="C129" s="458"/>
      <c r="D129" s="458"/>
      <c r="E129" s="459"/>
      <c r="F129" s="39">
        <f>SUM(F130:F139)</f>
        <v>521275</v>
      </c>
      <c r="G129" s="39">
        <f t="shared" ref="G129:I129" si="17">SUM(G130:G139)</f>
        <v>521275</v>
      </c>
      <c r="H129" s="39">
        <f t="shared" si="17"/>
        <v>521275</v>
      </c>
      <c r="I129" s="39">
        <f t="shared" si="17"/>
        <v>521275</v>
      </c>
      <c r="J129" s="1"/>
    </row>
    <row r="130" spans="1:10" s="6" customFormat="1" ht="39" outlineLevel="1" x14ac:dyDescent="0.35">
      <c r="A130" s="7">
        <v>1</v>
      </c>
      <c r="B130" s="7" t="s">
        <v>25</v>
      </c>
      <c r="C130" s="314" t="s">
        <v>1004</v>
      </c>
      <c r="D130" s="8" t="s">
        <v>315</v>
      </c>
      <c r="E130" s="8" t="s">
        <v>66</v>
      </c>
      <c r="F130" s="84">
        <v>3800</v>
      </c>
      <c r="G130" s="20">
        <v>3800</v>
      </c>
      <c r="H130" s="20">
        <v>3800</v>
      </c>
      <c r="I130" s="20">
        <v>3800</v>
      </c>
      <c r="J130" s="4"/>
    </row>
    <row r="131" spans="1:10" s="6" customFormat="1" outlineLevel="1" x14ac:dyDescent="0.35">
      <c r="A131" s="7">
        <v>2</v>
      </c>
      <c r="B131" s="7" t="s">
        <v>25</v>
      </c>
      <c r="C131" s="314" t="s">
        <v>317</v>
      </c>
      <c r="D131" s="8" t="s">
        <v>318</v>
      </c>
      <c r="E131" s="8" t="s">
        <v>319</v>
      </c>
      <c r="F131" s="84">
        <v>85674</v>
      </c>
      <c r="G131" s="20">
        <v>85674</v>
      </c>
      <c r="H131" s="20">
        <v>85674</v>
      </c>
      <c r="I131" s="20">
        <v>85674</v>
      </c>
      <c r="J131" s="4"/>
    </row>
    <row r="132" spans="1:10" s="6" customFormat="1" ht="26" outlineLevel="1" x14ac:dyDescent="0.35">
      <c r="A132" s="7">
        <v>3</v>
      </c>
      <c r="B132" s="7" t="s">
        <v>25</v>
      </c>
      <c r="C132" s="314" t="s">
        <v>317</v>
      </c>
      <c r="D132" s="8" t="s">
        <v>321</v>
      </c>
      <c r="E132" s="8" t="s">
        <v>319</v>
      </c>
      <c r="F132" s="84">
        <v>38074</v>
      </c>
      <c r="G132" s="20">
        <v>38074</v>
      </c>
      <c r="H132" s="20">
        <v>38074</v>
      </c>
      <c r="I132" s="20">
        <v>38074</v>
      </c>
      <c r="J132" s="4"/>
    </row>
    <row r="133" spans="1:10" s="6" customFormat="1" outlineLevel="1" x14ac:dyDescent="0.35">
      <c r="A133" s="7">
        <v>4</v>
      </c>
      <c r="B133" s="7" t="s">
        <v>25</v>
      </c>
      <c r="C133" s="314" t="s">
        <v>317</v>
      </c>
      <c r="D133" s="8" t="s">
        <v>322</v>
      </c>
      <c r="E133" s="8" t="s">
        <v>319</v>
      </c>
      <c r="F133" s="84">
        <v>32750</v>
      </c>
      <c r="G133" s="20">
        <v>32750</v>
      </c>
      <c r="H133" s="20">
        <v>32750</v>
      </c>
      <c r="I133" s="20">
        <v>32750</v>
      </c>
      <c r="J133" s="4"/>
    </row>
    <row r="134" spans="1:10" ht="26" outlineLevel="1" x14ac:dyDescent="0.3">
      <c r="A134" s="7">
        <v>5</v>
      </c>
      <c r="B134" s="7" t="s">
        <v>25</v>
      </c>
      <c r="C134" s="314" t="s">
        <v>1005</v>
      </c>
      <c r="D134" s="8" t="s">
        <v>323</v>
      </c>
      <c r="E134" s="8" t="s">
        <v>68</v>
      </c>
      <c r="F134" s="20">
        <v>7216</v>
      </c>
      <c r="G134" s="20">
        <v>7216</v>
      </c>
      <c r="H134" s="20">
        <v>7216</v>
      </c>
      <c r="I134" s="20">
        <v>7216</v>
      </c>
      <c r="J134" s="1"/>
    </row>
    <row r="135" spans="1:10" ht="91" outlineLevel="1" x14ac:dyDescent="0.3">
      <c r="A135" s="7">
        <v>6</v>
      </c>
      <c r="B135" s="7" t="s">
        <v>25</v>
      </c>
      <c r="C135" s="314" t="s">
        <v>325</v>
      </c>
      <c r="D135" s="8" t="s">
        <v>326</v>
      </c>
      <c r="E135" s="8" t="s">
        <v>319</v>
      </c>
      <c r="F135" s="85">
        <v>230000</v>
      </c>
      <c r="G135" s="19">
        <v>230000</v>
      </c>
      <c r="H135" s="19">
        <v>230000</v>
      </c>
      <c r="I135" s="19">
        <v>230000</v>
      </c>
      <c r="J135" s="407" t="s">
        <v>1072</v>
      </c>
    </row>
    <row r="136" spans="1:10" ht="26" outlineLevel="1" x14ac:dyDescent="0.3">
      <c r="A136" s="7">
        <v>7</v>
      </c>
      <c r="B136" s="7" t="s">
        <v>25</v>
      </c>
      <c r="C136" s="314" t="s">
        <v>329</v>
      </c>
      <c r="D136" s="8" t="s">
        <v>330</v>
      </c>
      <c r="E136" s="8" t="s">
        <v>68</v>
      </c>
      <c r="F136" s="19">
        <v>100000</v>
      </c>
      <c r="G136" s="19">
        <v>100000</v>
      </c>
      <c r="H136" s="19">
        <v>100000</v>
      </c>
      <c r="I136" s="19">
        <v>100000</v>
      </c>
      <c r="J136" s="1"/>
    </row>
    <row r="137" spans="1:10" ht="26" outlineLevel="1" x14ac:dyDescent="0.3">
      <c r="A137" s="7">
        <v>8</v>
      </c>
      <c r="B137" s="7" t="s">
        <v>25</v>
      </c>
      <c r="C137" s="314" t="s">
        <v>1004</v>
      </c>
      <c r="D137" s="8" t="s">
        <v>332</v>
      </c>
      <c r="E137" s="8" t="s">
        <v>66</v>
      </c>
      <c r="F137" s="84">
        <v>1843</v>
      </c>
      <c r="G137" s="20">
        <v>1843</v>
      </c>
      <c r="H137" s="20">
        <v>1843</v>
      </c>
      <c r="I137" s="20">
        <v>1843</v>
      </c>
      <c r="J137" s="1"/>
    </row>
    <row r="138" spans="1:10" ht="26" outlineLevel="1" x14ac:dyDescent="0.3">
      <c r="A138" s="7">
        <v>9</v>
      </c>
      <c r="B138" s="7" t="s">
        <v>25</v>
      </c>
      <c r="C138" s="8" t="s">
        <v>317</v>
      </c>
      <c r="D138" s="8" t="s">
        <v>334</v>
      </c>
      <c r="E138" s="8" t="s">
        <v>319</v>
      </c>
      <c r="F138" s="84">
        <v>1918</v>
      </c>
      <c r="G138" s="20">
        <v>1918</v>
      </c>
      <c r="H138" s="20">
        <v>1918</v>
      </c>
      <c r="I138" s="20">
        <v>1918</v>
      </c>
      <c r="J138" s="1"/>
    </row>
    <row r="139" spans="1:10" ht="26" outlineLevel="1" x14ac:dyDescent="0.3">
      <c r="A139" s="7">
        <v>10</v>
      </c>
      <c r="B139" s="7" t="s">
        <v>25</v>
      </c>
      <c r="C139" s="8" t="s">
        <v>317</v>
      </c>
      <c r="D139" s="8" t="s">
        <v>210</v>
      </c>
      <c r="E139" s="8" t="s">
        <v>319</v>
      </c>
      <c r="F139" s="85">
        <v>20000</v>
      </c>
      <c r="G139" s="19">
        <v>20000</v>
      </c>
      <c r="H139" s="19">
        <v>20000</v>
      </c>
      <c r="I139" s="19">
        <v>20000</v>
      </c>
      <c r="J139" s="1"/>
    </row>
    <row r="140" spans="1:10" x14ac:dyDescent="0.3">
      <c r="A140" s="457" t="s">
        <v>335</v>
      </c>
      <c r="B140" s="458"/>
      <c r="C140" s="458"/>
      <c r="D140" s="458"/>
      <c r="E140" s="459"/>
      <c r="F140" s="43">
        <f>SUM(F141:F149)</f>
        <v>817384</v>
      </c>
      <c r="G140" s="43">
        <f>SUM(G141:G149)</f>
        <v>905188</v>
      </c>
      <c r="H140" s="43">
        <f>SUM(H141:H149)</f>
        <v>905188</v>
      </c>
      <c r="I140" s="43">
        <f>SUM(I141:I149)</f>
        <v>905188</v>
      </c>
      <c r="J140" s="1"/>
    </row>
    <row r="141" spans="1:10" ht="39" outlineLevel="1" x14ac:dyDescent="0.3">
      <c r="A141" s="21">
        <v>1</v>
      </c>
      <c r="B141" s="21" t="s">
        <v>26</v>
      </c>
      <c r="C141" s="8" t="s">
        <v>1066</v>
      </c>
      <c r="D141" s="8" t="s">
        <v>339</v>
      </c>
      <c r="E141" s="8" t="s">
        <v>66</v>
      </c>
      <c r="F141" s="139">
        <v>40000</v>
      </c>
      <c r="G141" s="139">
        <v>40000</v>
      </c>
      <c r="H141" s="139">
        <v>40000</v>
      </c>
      <c r="I141" s="139">
        <v>40000</v>
      </c>
      <c r="J141" s="1"/>
    </row>
    <row r="142" spans="1:10" ht="91" outlineLevel="1" x14ac:dyDescent="0.3">
      <c r="A142" s="21">
        <v>2</v>
      </c>
      <c r="B142" s="21" t="s">
        <v>26</v>
      </c>
      <c r="C142" s="8" t="s">
        <v>346</v>
      </c>
      <c r="D142" s="8" t="s">
        <v>347</v>
      </c>
      <c r="E142" s="8" t="s">
        <v>170</v>
      </c>
      <c r="F142" s="139">
        <v>43902</v>
      </c>
      <c r="G142" s="139">
        <v>131706</v>
      </c>
      <c r="H142" s="139">
        <v>131706</v>
      </c>
      <c r="I142" s="139">
        <v>131706</v>
      </c>
      <c r="J142" s="1"/>
    </row>
    <row r="143" spans="1:10" outlineLevel="1" x14ac:dyDescent="0.3">
      <c r="A143" s="520">
        <v>3</v>
      </c>
      <c r="B143" s="520" t="s">
        <v>26</v>
      </c>
      <c r="C143" s="559" t="s">
        <v>356</v>
      </c>
      <c r="D143" s="516" t="s">
        <v>357</v>
      </c>
      <c r="E143" s="8" t="s">
        <v>65</v>
      </c>
      <c r="F143" s="139">
        <v>54182</v>
      </c>
      <c r="G143" s="139">
        <v>54182</v>
      </c>
      <c r="H143" s="139">
        <v>54182</v>
      </c>
      <c r="I143" s="139">
        <v>54182</v>
      </c>
      <c r="J143" s="1"/>
    </row>
    <row r="144" spans="1:10" outlineLevel="1" x14ac:dyDescent="0.3">
      <c r="A144" s="520"/>
      <c r="B144" s="520"/>
      <c r="C144" s="559"/>
      <c r="D144" s="516"/>
      <c r="E144" s="8" t="s">
        <v>66</v>
      </c>
      <c r="F144" s="139">
        <v>7740</v>
      </c>
      <c r="G144" s="139">
        <v>7740</v>
      </c>
      <c r="H144" s="139">
        <v>7740</v>
      </c>
      <c r="I144" s="139">
        <v>7740</v>
      </c>
      <c r="J144" s="1"/>
    </row>
    <row r="145" spans="1:10" outlineLevel="1" x14ac:dyDescent="0.3">
      <c r="A145" s="520"/>
      <c r="B145" s="520"/>
      <c r="C145" s="559"/>
      <c r="D145" s="516" t="s">
        <v>358</v>
      </c>
      <c r="E145" s="8" t="s">
        <v>65</v>
      </c>
      <c r="F145" s="139">
        <v>70598</v>
      </c>
      <c r="G145" s="139">
        <v>70598</v>
      </c>
      <c r="H145" s="139">
        <v>70598</v>
      </c>
      <c r="I145" s="139">
        <v>70598</v>
      </c>
      <c r="J145" s="1"/>
    </row>
    <row r="146" spans="1:10" outlineLevel="1" x14ac:dyDescent="0.3">
      <c r="A146" s="520"/>
      <c r="B146" s="520"/>
      <c r="C146" s="559"/>
      <c r="D146" s="516"/>
      <c r="E146" s="8" t="s">
        <v>66</v>
      </c>
      <c r="F146" s="139">
        <v>10456</v>
      </c>
      <c r="G146" s="139">
        <v>10456</v>
      </c>
      <c r="H146" s="139">
        <v>10456</v>
      </c>
      <c r="I146" s="139">
        <v>10456</v>
      </c>
      <c r="J146" s="1"/>
    </row>
    <row r="147" spans="1:10" outlineLevel="1" x14ac:dyDescent="0.3">
      <c r="A147" s="520"/>
      <c r="B147" s="520"/>
      <c r="C147" s="559"/>
      <c r="D147" s="516" t="s">
        <v>359</v>
      </c>
      <c r="E147" s="8" t="s">
        <v>65</v>
      </c>
      <c r="F147" s="139">
        <v>10530</v>
      </c>
      <c r="G147" s="139">
        <v>10530</v>
      </c>
      <c r="H147" s="139">
        <v>10530</v>
      </c>
      <c r="I147" s="139">
        <v>10530</v>
      </c>
      <c r="J147" s="1"/>
    </row>
    <row r="148" spans="1:10" outlineLevel="1" x14ac:dyDescent="0.3">
      <c r="A148" s="498"/>
      <c r="B148" s="498"/>
      <c r="C148" s="531"/>
      <c r="D148" s="516"/>
      <c r="E148" s="8" t="s">
        <v>66</v>
      </c>
      <c r="F148" s="139">
        <v>38551</v>
      </c>
      <c r="G148" s="139">
        <v>38551</v>
      </c>
      <c r="H148" s="139">
        <v>38551</v>
      </c>
      <c r="I148" s="139">
        <v>38551</v>
      </c>
      <c r="J148" s="1"/>
    </row>
    <row r="149" spans="1:10" ht="26" outlineLevel="1" x14ac:dyDescent="0.3">
      <c r="A149" s="21">
        <v>4</v>
      </c>
      <c r="B149" s="21" t="s">
        <v>26</v>
      </c>
      <c r="C149" s="8" t="s">
        <v>360</v>
      </c>
      <c r="D149" s="8" t="s">
        <v>361</v>
      </c>
      <c r="E149" s="8" t="s">
        <v>65</v>
      </c>
      <c r="F149" s="139">
        <v>541425</v>
      </c>
      <c r="G149" s="139">
        <v>541425</v>
      </c>
      <c r="H149" s="139">
        <v>541425</v>
      </c>
      <c r="I149" s="139">
        <v>541425</v>
      </c>
      <c r="J149" s="1"/>
    </row>
    <row r="150" spans="1:10" x14ac:dyDescent="0.3">
      <c r="A150" s="457" t="s">
        <v>362</v>
      </c>
      <c r="B150" s="458"/>
      <c r="C150" s="458"/>
      <c r="D150" s="458"/>
      <c r="E150" s="459"/>
      <c r="F150" s="43">
        <f>SUM(F151:F189)</f>
        <v>7480372.5379999997</v>
      </c>
      <c r="G150" s="43">
        <f t="shared" ref="G150:I150" si="18">SUM(G151:G189)</f>
        <v>7480372.5379999997</v>
      </c>
      <c r="H150" s="43">
        <f t="shared" si="18"/>
        <v>7480372.5379999997</v>
      </c>
      <c r="I150" s="43">
        <f t="shared" si="18"/>
        <v>7480372.5379999997</v>
      </c>
      <c r="J150" s="1"/>
    </row>
    <row r="151" spans="1:10" ht="91" outlineLevel="1" x14ac:dyDescent="0.3">
      <c r="A151" s="493">
        <v>1</v>
      </c>
      <c r="B151" s="497" t="s">
        <v>27</v>
      </c>
      <c r="C151" s="49" t="s">
        <v>1006</v>
      </c>
      <c r="D151" s="521" t="s">
        <v>365</v>
      </c>
      <c r="E151" s="2" t="s">
        <v>65</v>
      </c>
      <c r="F151" s="20">
        <v>718269</v>
      </c>
      <c r="G151" s="20">
        <v>718269</v>
      </c>
      <c r="H151" s="20">
        <v>718269</v>
      </c>
      <c r="I151" s="20">
        <v>718269</v>
      </c>
      <c r="J151" s="1"/>
    </row>
    <row r="152" spans="1:10" ht="26" outlineLevel="1" x14ac:dyDescent="0.3">
      <c r="A152" s="508"/>
      <c r="B152" s="520"/>
      <c r="C152" s="2" t="s">
        <v>366</v>
      </c>
      <c r="D152" s="522"/>
      <c r="E152" s="2" t="s">
        <v>66</v>
      </c>
      <c r="F152" s="20">
        <v>104416</v>
      </c>
      <c r="G152" s="20">
        <v>104416</v>
      </c>
      <c r="H152" s="20">
        <v>104416</v>
      </c>
      <c r="I152" s="20">
        <v>104416</v>
      </c>
      <c r="J152" s="1"/>
    </row>
    <row r="153" spans="1:10" ht="26" outlineLevel="1" x14ac:dyDescent="0.3">
      <c r="A153" s="494"/>
      <c r="B153" s="498"/>
      <c r="C153" s="2" t="s">
        <v>367</v>
      </c>
      <c r="D153" s="523"/>
      <c r="E153" s="2" t="s">
        <v>68</v>
      </c>
      <c r="F153" s="20">
        <v>100000</v>
      </c>
      <c r="G153" s="20">
        <v>100000</v>
      </c>
      <c r="H153" s="20">
        <v>100000</v>
      </c>
      <c r="I153" s="20">
        <v>100000</v>
      </c>
      <c r="J153" s="1"/>
    </row>
    <row r="154" spans="1:10" ht="65" outlineLevel="1" x14ac:dyDescent="0.3">
      <c r="A154" s="493">
        <v>2</v>
      </c>
      <c r="B154" s="497" t="s">
        <v>27</v>
      </c>
      <c r="C154" s="52" t="s">
        <v>368</v>
      </c>
      <c r="D154" s="521" t="s">
        <v>369</v>
      </c>
      <c r="E154" s="2" t="s">
        <v>370</v>
      </c>
      <c r="F154" s="20">
        <v>44487.627999999997</v>
      </c>
      <c r="G154" s="20">
        <v>44487.627999999997</v>
      </c>
      <c r="H154" s="20">
        <v>44487.627999999997</v>
      </c>
      <c r="I154" s="20">
        <v>44487.627999999997</v>
      </c>
      <c r="J154" s="1"/>
    </row>
    <row r="155" spans="1:10" ht="52" outlineLevel="1" x14ac:dyDescent="0.3">
      <c r="A155" s="508"/>
      <c r="B155" s="520"/>
      <c r="C155" s="52" t="s">
        <v>371</v>
      </c>
      <c r="D155" s="522"/>
      <c r="E155" s="2" t="s">
        <v>372</v>
      </c>
      <c r="F155" s="20">
        <v>24632.808000000001</v>
      </c>
      <c r="G155" s="20">
        <v>24632.808000000001</v>
      </c>
      <c r="H155" s="20">
        <v>24632.808000000001</v>
      </c>
      <c r="I155" s="20">
        <v>24632.808000000001</v>
      </c>
      <c r="J155" s="1"/>
    </row>
    <row r="156" spans="1:10" ht="104" outlineLevel="1" x14ac:dyDescent="0.3">
      <c r="A156" s="494"/>
      <c r="B156" s="498"/>
      <c r="C156" s="52" t="s">
        <v>373</v>
      </c>
      <c r="D156" s="523"/>
      <c r="E156" s="2" t="s">
        <v>372</v>
      </c>
      <c r="F156" s="20">
        <v>65769.101999999999</v>
      </c>
      <c r="G156" s="20">
        <v>65769.101999999999</v>
      </c>
      <c r="H156" s="20">
        <v>65769.101999999999</v>
      </c>
      <c r="I156" s="20">
        <v>65769.101999999999</v>
      </c>
      <c r="J156" s="1"/>
    </row>
    <row r="157" spans="1:10" ht="52" outlineLevel="1" x14ac:dyDescent="0.3">
      <c r="A157" s="7">
        <v>3</v>
      </c>
      <c r="B157" s="21" t="s">
        <v>27</v>
      </c>
      <c r="C157" s="52" t="s">
        <v>374</v>
      </c>
      <c r="D157" s="51" t="s">
        <v>375</v>
      </c>
      <c r="E157" s="2" t="s">
        <v>67</v>
      </c>
      <c r="F157" s="20">
        <v>1154774</v>
      </c>
      <c r="G157" s="20">
        <v>1154774</v>
      </c>
      <c r="H157" s="20">
        <v>1154774</v>
      </c>
      <c r="I157" s="20">
        <v>1154774</v>
      </c>
      <c r="J157" s="1"/>
    </row>
    <row r="158" spans="1:10" ht="39" outlineLevel="1" x14ac:dyDescent="0.3">
      <c r="A158" s="493">
        <v>4</v>
      </c>
      <c r="B158" s="497" t="s">
        <v>27</v>
      </c>
      <c r="C158" s="52" t="s">
        <v>377</v>
      </c>
      <c r="D158" s="521" t="s">
        <v>378</v>
      </c>
      <c r="E158" s="4" t="s">
        <v>65</v>
      </c>
      <c r="F158" s="84">
        <v>500174</v>
      </c>
      <c r="G158" s="20">
        <v>500174</v>
      </c>
      <c r="H158" s="20">
        <v>500174</v>
      </c>
      <c r="I158" s="20">
        <v>500174</v>
      </c>
      <c r="J158" s="1"/>
    </row>
    <row r="159" spans="1:10" ht="39" outlineLevel="1" x14ac:dyDescent="0.3">
      <c r="A159" s="508"/>
      <c r="B159" s="520"/>
      <c r="C159" s="52" t="s">
        <v>379</v>
      </c>
      <c r="D159" s="522"/>
      <c r="E159" s="2" t="s">
        <v>66</v>
      </c>
      <c r="F159" s="20">
        <v>810000</v>
      </c>
      <c r="G159" s="20">
        <v>810000</v>
      </c>
      <c r="H159" s="20">
        <v>810000</v>
      </c>
      <c r="I159" s="20">
        <v>810000</v>
      </c>
      <c r="J159" s="1"/>
    </row>
    <row r="160" spans="1:10" ht="26" outlineLevel="1" x14ac:dyDescent="0.3">
      <c r="A160" s="508"/>
      <c r="B160" s="520"/>
      <c r="C160" s="52"/>
      <c r="D160" s="522"/>
      <c r="E160" s="2" t="s">
        <v>68</v>
      </c>
      <c r="F160" s="20">
        <v>14113</v>
      </c>
      <c r="G160" s="20">
        <v>14113</v>
      </c>
      <c r="H160" s="20">
        <v>14113</v>
      </c>
      <c r="I160" s="20">
        <v>14113</v>
      </c>
      <c r="J160" s="1"/>
    </row>
    <row r="161" spans="1:10" ht="52" outlineLevel="1" x14ac:dyDescent="0.3">
      <c r="A161" s="508"/>
      <c r="B161" s="520"/>
      <c r="C161" s="52" t="s">
        <v>380</v>
      </c>
      <c r="D161" s="522"/>
      <c r="E161" s="2" t="s">
        <v>66</v>
      </c>
      <c r="F161" s="20">
        <v>24289</v>
      </c>
      <c r="G161" s="20">
        <v>24289</v>
      </c>
      <c r="H161" s="20">
        <v>24289</v>
      </c>
      <c r="I161" s="20">
        <v>24289</v>
      </c>
      <c r="J161" s="1"/>
    </row>
    <row r="162" spans="1:10" ht="39" outlineLevel="1" x14ac:dyDescent="0.3">
      <c r="A162" s="508"/>
      <c r="B162" s="520"/>
      <c r="C162" s="52" t="s">
        <v>381</v>
      </c>
      <c r="D162" s="522"/>
      <c r="E162" s="2" t="s">
        <v>68</v>
      </c>
      <c r="F162" s="20">
        <v>150000</v>
      </c>
      <c r="G162" s="20">
        <v>150000</v>
      </c>
      <c r="H162" s="20">
        <v>150000</v>
      </c>
      <c r="I162" s="20">
        <v>150000</v>
      </c>
      <c r="J162" s="1"/>
    </row>
    <row r="163" spans="1:10" ht="39" outlineLevel="1" x14ac:dyDescent="0.3">
      <c r="A163" s="494"/>
      <c r="B163" s="498"/>
      <c r="C163" s="52"/>
      <c r="D163" s="523"/>
      <c r="E163" s="2" t="s">
        <v>372</v>
      </c>
      <c r="F163" s="20">
        <v>13299</v>
      </c>
      <c r="G163" s="20">
        <v>13299</v>
      </c>
      <c r="H163" s="20">
        <v>13299</v>
      </c>
      <c r="I163" s="20">
        <v>13299</v>
      </c>
      <c r="J163" s="1"/>
    </row>
    <row r="164" spans="1:10" ht="26" outlineLevel="1" x14ac:dyDescent="0.3">
      <c r="A164" s="7">
        <v>5</v>
      </c>
      <c r="B164" s="21" t="s">
        <v>27</v>
      </c>
      <c r="C164" s="52"/>
      <c r="D164" s="51" t="s">
        <v>382</v>
      </c>
      <c r="E164" s="2" t="s">
        <v>67</v>
      </c>
      <c r="F164" s="20">
        <v>12806</v>
      </c>
      <c r="G164" s="20">
        <v>12806</v>
      </c>
      <c r="H164" s="20">
        <v>12806</v>
      </c>
      <c r="I164" s="20">
        <v>12806</v>
      </c>
      <c r="J164" s="1"/>
    </row>
    <row r="165" spans="1:10" ht="52" outlineLevel="1" x14ac:dyDescent="0.3">
      <c r="A165" s="7">
        <v>6</v>
      </c>
      <c r="B165" s="21" t="s">
        <v>27</v>
      </c>
      <c r="C165" s="52"/>
      <c r="D165" s="51" t="s">
        <v>383</v>
      </c>
      <c r="E165" s="2" t="s">
        <v>67</v>
      </c>
      <c r="F165" s="20">
        <v>12799</v>
      </c>
      <c r="G165" s="20">
        <v>12799</v>
      </c>
      <c r="H165" s="20">
        <v>12799</v>
      </c>
      <c r="I165" s="20">
        <v>12799</v>
      </c>
      <c r="J165" s="1"/>
    </row>
    <row r="166" spans="1:10" ht="65" outlineLevel="1" x14ac:dyDescent="0.3">
      <c r="A166" s="493">
        <v>7</v>
      </c>
      <c r="B166" s="497" t="s">
        <v>27</v>
      </c>
      <c r="C166" s="52" t="s">
        <v>384</v>
      </c>
      <c r="D166" s="521" t="s">
        <v>385</v>
      </c>
      <c r="E166" s="4" t="s">
        <v>65</v>
      </c>
      <c r="F166" s="20">
        <v>1157016</v>
      </c>
      <c r="G166" s="20">
        <v>1157016</v>
      </c>
      <c r="H166" s="20">
        <v>1157016</v>
      </c>
      <c r="I166" s="20">
        <v>1157016</v>
      </c>
      <c r="J166" s="1"/>
    </row>
    <row r="167" spans="1:10" ht="78" outlineLevel="1" x14ac:dyDescent="0.3">
      <c r="A167" s="508"/>
      <c r="B167" s="520"/>
      <c r="C167" s="52" t="s">
        <v>1007</v>
      </c>
      <c r="D167" s="522"/>
      <c r="E167" s="2" t="s">
        <v>66</v>
      </c>
      <c r="F167" s="20">
        <v>434442</v>
      </c>
      <c r="G167" s="20">
        <v>434442</v>
      </c>
      <c r="H167" s="20">
        <v>434442</v>
      </c>
      <c r="I167" s="20">
        <v>434442</v>
      </c>
      <c r="J167" s="1"/>
    </row>
    <row r="168" spans="1:10" ht="39" outlineLevel="1" x14ac:dyDescent="0.3">
      <c r="A168" s="494"/>
      <c r="B168" s="498"/>
      <c r="C168" s="52" t="s">
        <v>1008</v>
      </c>
      <c r="D168" s="523"/>
      <c r="E168" s="2" t="s">
        <v>68</v>
      </c>
      <c r="F168" s="20">
        <v>200000</v>
      </c>
      <c r="G168" s="20">
        <v>200000</v>
      </c>
      <c r="H168" s="20">
        <v>200000</v>
      </c>
      <c r="I168" s="20">
        <v>200000</v>
      </c>
      <c r="J168" s="1"/>
    </row>
    <row r="169" spans="1:10" ht="26" outlineLevel="1" x14ac:dyDescent="0.3">
      <c r="A169" s="493">
        <v>8</v>
      </c>
      <c r="B169" s="497" t="s">
        <v>27</v>
      </c>
      <c r="C169" s="52"/>
      <c r="D169" s="51" t="s">
        <v>387</v>
      </c>
      <c r="E169" s="2" t="s">
        <v>67</v>
      </c>
      <c r="F169" s="20">
        <v>114226</v>
      </c>
      <c r="G169" s="20">
        <v>114226</v>
      </c>
      <c r="H169" s="20">
        <v>114226</v>
      </c>
      <c r="I169" s="20">
        <v>114226</v>
      </c>
      <c r="J169" s="1"/>
    </row>
    <row r="170" spans="1:10" ht="26" outlineLevel="1" x14ac:dyDescent="0.3">
      <c r="A170" s="508"/>
      <c r="B170" s="520"/>
      <c r="C170" s="52"/>
      <c r="D170" s="51" t="s">
        <v>387</v>
      </c>
      <c r="E170" s="2" t="s">
        <v>67</v>
      </c>
      <c r="F170" s="20">
        <v>37704</v>
      </c>
      <c r="G170" s="20">
        <v>37704</v>
      </c>
      <c r="H170" s="20">
        <v>37704</v>
      </c>
      <c r="I170" s="20">
        <v>37704</v>
      </c>
      <c r="J170" s="1"/>
    </row>
    <row r="171" spans="1:10" ht="39" outlineLevel="1" x14ac:dyDescent="0.3">
      <c r="A171" s="494"/>
      <c r="B171" s="498"/>
      <c r="C171" s="52"/>
      <c r="D171" s="51" t="s">
        <v>387</v>
      </c>
      <c r="E171" s="2" t="s">
        <v>372</v>
      </c>
      <c r="F171" s="20">
        <v>55836</v>
      </c>
      <c r="G171" s="20">
        <v>55836</v>
      </c>
      <c r="H171" s="20">
        <v>55836</v>
      </c>
      <c r="I171" s="20">
        <v>55836</v>
      </c>
      <c r="J171" s="1"/>
    </row>
    <row r="172" spans="1:10" ht="39" outlineLevel="1" x14ac:dyDescent="0.3">
      <c r="A172" s="493">
        <v>9</v>
      </c>
      <c r="B172" s="497" t="s">
        <v>27</v>
      </c>
      <c r="C172" s="52" t="s">
        <v>388</v>
      </c>
      <c r="D172" s="521" t="s">
        <v>389</v>
      </c>
      <c r="E172" s="2" t="s">
        <v>372</v>
      </c>
      <c r="F172" s="20">
        <v>62180</v>
      </c>
      <c r="G172" s="20">
        <v>62180</v>
      </c>
      <c r="H172" s="20">
        <v>62180</v>
      </c>
      <c r="I172" s="20">
        <v>62180</v>
      </c>
      <c r="J172" s="1"/>
    </row>
    <row r="173" spans="1:10" ht="39" outlineLevel="1" x14ac:dyDescent="0.3">
      <c r="A173" s="494"/>
      <c r="B173" s="498"/>
      <c r="C173" s="52" t="s">
        <v>390</v>
      </c>
      <c r="D173" s="523"/>
      <c r="E173" s="2" t="s">
        <v>372</v>
      </c>
      <c r="F173" s="20">
        <v>24232</v>
      </c>
      <c r="G173" s="20">
        <v>24232</v>
      </c>
      <c r="H173" s="20">
        <v>24232</v>
      </c>
      <c r="I173" s="20">
        <v>24232</v>
      </c>
      <c r="J173" s="1"/>
    </row>
    <row r="174" spans="1:10" ht="26" outlineLevel="1" x14ac:dyDescent="0.3">
      <c r="A174" s="7">
        <v>10</v>
      </c>
      <c r="B174" s="21" t="s">
        <v>27</v>
      </c>
      <c r="C174" s="52"/>
      <c r="D174" s="51" t="s">
        <v>391</v>
      </c>
      <c r="E174" s="2" t="s">
        <v>67</v>
      </c>
      <c r="F174" s="20">
        <v>88852</v>
      </c>
      <c r="G174" s="20">
        <v>88852</v>
      </c>
      <c r="H174" s="20">
        <v>88852</v>
      </c>
      <c r="I174" s="20">
        <v>88852</v>
      </c>
      <c r="J174" s="1"/>
    </row>
    <row r="175" spans="1:10" ht="52" outlineLevel="1" x14ac:dyDescent="0.3">
      <c r="A175" s="7">
        <v>11</v>
      </c>
      <c r="B175" s="21" t="s">
        <v>27</v>
      </c>
      <c r="C175" s="52"/>
      <c r="D175" s="51" t="s">
        <v>392</v>
      </c>
      <c r="E175" s="2" t="s">
        <v>67</v>
      </c>
      <c r="F175" s="20">
        <v>507067</v>
      </c>
      <c r="G175" s="20">
        <v>507067</v>
      </c>
      <c r="H175" s="20">
        <v>507067</v>
      </c>
      <c r="I175" s="20">
        <v>507067</v>
      </c>
      <c r="J175" s="1"/>
    </row>
    <row r="176" spans="1:10" ht="52" outlineLevel="1" x14ac:dyDescent="0.3">
      <c r="A176" s="7">
        <v>12</v>
      </c>
      <c r="B176" s="21" t="s">
        <v>27</v>
      </c>
      <c r="C176" s="52"/>
      <c r="D176" s="51" t="s">
        <v>393</v>
      </c>
      <c r="E176" s="2" t="s">
        <v>67</v>
      </c>
      <c r="F176" s="20">
        <v>64225</v>
      </c>
      <c r="G176" s="20">
        <v>64225</v>
      </c>
      <c r="H176" s="20">
        <v>64225</v>
      </c>
      <c r="I176" s="20">
        <v>64225</v>
      </c>
      <c r="J176" s="1"/>
    </row>
    <row r="177" spans="1:10" outlineLevel="1" x14ac:dyDescent="0.3">
      <c r="A177" s="493">
        <v>13</v>
      </c>
      <c r="B177" s="497" t="s">
        <v>27</v>
      </c>
      <c r="C177" s="52" t="s">
        <v>394</v>
      </c>
      <c r="D177" s="521" t="s">
        <v>395</v>
      </c>
      <c r="E177" s="4" t="s">
        <v>65</v>
      </c>
      <c r="F177" s="20">
        <v>116244</v>
      </c>
      <c r="G177" s="20">
        <v>116244</v>
      </c>
      <c r="H177" s="20">
        <v>116244</v>
      </c>
      <c r="I177" s="20">
        <v>116244</v>
      </c>
      <c r="J177" s="1"/>
    </row>
    <row r="178" spans="1:10" ht="26" outlineLevel="1" x14ac:dyDescent="0.3">
      <c r="A178" s="508"/>
      <c r="B178" s="520"/>
      <c r="C178" s="52" t="s">
        <v>396</v>
      </c>
      <c r="D178" s="522"/>
      <c r="E178" s="305" t="s">
        <v>66</v>
      </c>
      <c r="F178" s="20">
        <v>12729</v>
      </c>
      <c r="G178" s="20">
        <v>12729</v>
      </c>
      <c r="H178" s="20">
        <v>12729</v>
      </c>
      <c r="I178" s="20">
        <v>12729</v>
      </c>
      <c r="J178" s="1"/>
    </row>
    <row r="179" spans="1:10" ht="26" outlineLevel="1" x14ac:dyDescent="0.3">
      <c r="A179" s="508"/>
      <c r="B179" s="520"/>
      <c r="C179" s="52" t="s">
        <v>397</v>
      </c>
      <c r="D179" s="522"/>
      <c r="E179" s="305" t="s">
        <v>66</v>
      </c>
      <c r="F179" s="20">
        <v>8163</v>
      </c>
      <c r="G179" s="20">
        <v>8163</v>
      </c>
      <c r="H179" s="20">
        <v>8163</v>
      </c>
      <c r="I179" s="20">
        <v>8163</v>
      </c>
      <c r="J179" s="1"/>
    </row>
    <row r="180" spans="1:10" ht="39" outlineLevel="1" x14ac:dyDescent="0.3">
      <c r="A180" s="508"/>
      <c r="B180" s="520"/>
      <c r="C180" s="52" t="s">
        <v>398</v>
      </c>
      <c r="D180" s="522"/>
      <c r="E180" s="305" t="s">
        <v>66</v>
      </c>
      <c r="F180" s="20">
        <v>8100</v>
      </c>
      <c r="G180" s="20">
        <v>8100</v>
      </c>
      <c r="H180" s="20">
        <v>8100</v>
      </c>
      <c r="I180" s="20">
        <v>8100</v>
      </c>
      <c r="J180" s="1"/>
    </row>
    <row r="181" spans="1:10" ht="39" outlineLevel="1" x14ac:dyDescent="0.3">
      <c r="A181" s="508"/>
      <c r="B181" s="520"/>
      <c r="C181" s="52" t="s">
        <v>399</v>
      </c>
      <c r="D181" s="522"/>
      <c r="E181" s="305" t="s">
        <v>66</v>
      </c>
      <c r="F181" s="20">
        <v>6500</v>
      </c>
      <c r="G181" s="20">
        <v>6500</v>
      </c>
      <c r="H181" s="20">
        <v>6500</v>
      </c>
      <c r="I181" s="20">
        <v>6500</v>
      </c>
      <c r="J181" s="1"/>
    </row>
    <row r="182" spans="1:10" ht="39" outlineLevel="1" x14ac:dyDescent="0.3">
      <c r="A182" s="508"/>
      <c r="B182" s="520"/>
      <c r="C182" s="52" t="s">
        <v>400</v>
      </c>
      <c r="D182" s="522"/>
      <c r="E182" s="305" t="s">
        <v>66</v>
      </c>
      <c r="F182" s="20">
        <v>10500</v>
      </c>
      <c r="G182" s="20">
        <v>10500</v>
      </c>
      <c r="H182" s="20">
        <v>10500</v>
      </c>
      <c r="I182" s="20">
        <v>10500</v>
      </c>
      <c r="J182" s="1"/>
    </row>
    <row r="183" spans="1:10" ht="26" outlineLevel="1" x14ac:dyDescent="0.3">
      <c r="A183" s="508"/>
      <c r="B183" s="520"/>
      <c r="C183" s="52" t="s">
        <v>401</v>
      </c>
      <c r="D183" s="522"/>
      <c r="E183" s="305" t="s">
        <v>66</v>
      </c>
      <c r="F183" s="20">
        <v>16500</v>
      </c>
      <c r="G183" s="20">
        <v>16500</v>
      </c>
      <c r="H183" s="20">
        <v>16500</v>
      </c>
      <c r="I183" s="20">
        <v>16500</v>
      </c>
      <c r="J183" s="1"/>
    </row>
    <row r="184" spans="1:10" outlineLevel="1" x14ac:dyDescent="0.3">
      <c r="A184" s="508"/>
      <c r="B184" s="520"/>
      <c r="C184" s="52" t="s">
        <v>402</v>
      </c>
      <c r="D184" s="522"/>
      <c r="E184" s="305" t="s">
        <v>66</v>
      </c>
      <c r="F184" s="20">
        <v>2000</v>
      </c>
      <c r="G184" s="20">
        <v>2000</v>
      </c>
      <c r="H184" s="20">
        <v>2000</v>
      </c>
      <c r="I184" s="20">
        <v>2000</v>
      </c>
      <c r="J184" s="1"/>
    </row>
    <row r="185" spans="1:10" ht="26" outlineLevel="1" x14ac:dyDescent="0.3">
      <c r="A185" s="508"/>
      <c r="B185" s="520"/>
      <c r="C185" s="52" t="s">
        <v>1067</v>
      </c>
      <c r="D185" s="522"/>
      <c r="E185" s="305" t="s">
        <v>66</v>
      </c>
      <c r="F185" s="20">
        <v>20000</v>
      </c>
      <c r="G185" s="20">
        <v>20000</v>
      </c>
      <c r="H185" s="20">
        <v>20000</v>
      </c>
      <c r="I185" s="20">
        <v>20000</v>
      </c>
      <c r="J185" s="1"/>
    </row>
    <row r="186" spans="1:10" ht="52" outlineLevel="1" x14ac:dyDescent="0.3">
      <c r="A186" s="494"/>
      <c r="B186" s="498"/>
      <c r="C186" s="52" t="s">
        <v>404</v>
      </c>
      <c r="D186" s="523"/>
      <c r="E186" s="2" t="s">
        <v>68</v>
      </c>
      <c r="F186" s="20">
        <v>100000</v>
      </c>
      <c r="G186" s="20">
        <v>100000</v>
      </c>
      <c r="H186" s="20">
        <v>100000</v>
      </c>
      <c r="I186" s="20">
        <v>100000</v>
      </c>
      <c r="J186" s="1"/>
    </row>
    <row r="187" spans="1:10" ht="26" outlineLevel="1" x14ac:dyDescent="0.3">
      <c r="A187" s="524">
        <v>14</v>
      </c>
      <c r="B187" s="514" t="s">
        <v>27</v>
      </c>
      <c r="C187" s="52" t="s">
        <v>405</v>
      </c>
      <c r="D187" s="525" t="s">
        <v>210</v>
      </c>
      <c r="E187" s="4" t="s">
        <v>65</v>
      </c>
      <c r="F187" s="20">
        <v>249320</v>
      </c>
      <c r="G187" s="20">
        <v>253327</v>
      </c>
      <c r="H187" s="20">
        <v>249320</v>
      </c>
      <c r="I187" s="20">
        <v>253327</v>
      </c>
      <c r="J187" s="1"/>
    </row>
    <row r="188" spans="1:10" ht="26" outlineLevel="1" x14ac:dyDescent="0.3">
      <c r="A188" s="524"/>
      <c r="B188" s="514"/>
      <c r="C188" s="52" t="s">
        <v>406</v>
      </c>
      <c r="D188" s="525"/>
      <c r="E188" s="2" t="s">
        <v>66</v>
      </c>
      <c r="F188" s="20">
        <v>189707</v>
      </c>
      <c r="G188" s="20">
        <v>189707</v>
      </c>
      <c r="H188" s="20">
        <v>189707</v>
      </c>
      <c r="I188" s="20">
        <v>189707</v>
      </c>
      <c r="J188" s="1"/>
    </row>
    <row r="189" spans="1:10" ht="26" outlineLevel="1" x14ac:dyDescent="0.3">
      <c r="A189" s="524"/>
      <c r="B189" s="514"/>
      <c r="C189" s="52" t="s">
        <v>1015</v>
      </c>
      <c r="D189" s="525"/>
      <c r="E189" s="2" t="s">
        <v>164</v>
      </c>
      <c r="F189" s="384">
        <v>245001</v>
      </c>
      <c r="G189" s="384">
        <v>240994</v>
      </c>
      <c r="H189" s="384">
        <v>245001</v>
      </c>
      <c r="I189" s="384">
        <v>240994</v>
      </c>
      <c r="J189" s="1"/>
    </row>
    <row r="190" spans="1:10" x14ac:dyDescent="0.3">
      <c r="A190" s="457" t="s">
        <v>407</v>
      </c>
      <c r="B190" s="458"/>
      <c r="C190" s="458"/>
      <c r="D190" s="458"/>
      <c r="E190" s="459"/>
      <c r="F190" s="43">
        <f>SUM(F191:F200)</f>
        <v>3900000</v>
      </c>
      <c r="G190" s="43">
        <f t="shared" ref="G190:I190" si="19">SUM(G191:G200)</f>
        <v>3904536</v>
      </c>
      <c r="H190" s="43">
        <f t="shared" si="19"/>
        <v>3909234</v>
      </c>
      <c r="I190" s="43">
        <f t="shared" si="19"/>
        <v>3914098</v>
      </c>
      <c r="J190" s="1"/>
    </row>
    <row r="191" spans="1:10" ht="26.15" customHeight="1" outlineLevel="1" x14ac:dyDescent="0.3">
      <c r="A191" s="493">
        <v>1</v>
      </c>
      <c r="B191" s="493" t="s">
        <v>28</v>
      </c>
      <c r="C191" s="530" t="s">
        <v>1096</v>
      </c>
      <c r="D191" s="530" t="s">
        <v>410</v>
      </c>
      <c r="E191" s="8" t="s">
        <v>66</v>
      </c>
      <c r="F191" s="19">
        <v>794142</v>
      </c>
      <c r="G191" s="19">
        <v>794142</v>
      </c>
      <c r="H191" s="19">
        <v>794142</v>
      </c>
      <c r="I191" s="19">
        <v>794142</v>
      </c>
      <c r="J191" s="495" t="s">
        <v>411</v>
      </c>
    </row>
    <row r="192" spans="1:10" outlineLevel="1" x14ac:dyDescent="0.3">
      <c r="A192" s="508"/>
      <c r="B192" s="508"/>
      <c r="C192" s="559"/>
      <c r="D192" s="559"/>
      <c r="E192" s="314" t="s">
        <v>1097</v>
      </c>
      <c r="F192" s="19">
        <v>100000</v>
      </c>
      <c r="G192" s="19">
        <v>100000</v>
      </c>
      <c r="H192" s="19">
        <v>100000</v>
      </c>
      <c r="I192" s="19">
        <v>100000</v>
      </c>
      <c r="J192" s="509"/>
    </row>
    <row r="193" spans="1:10" outlineLevel="1" x14ac:dyDescent="0.3">
      <c r="A193" s="494"/>
      <c r="B193" s="494"/>
      <c r="C193" s="531"/>
      <c r="D193" s="531"/>
      <c r="E193" s="314" t="s">
        <v>65</v>
      </c>
      <c r="F193" s="19">
        <v>40216</v>
      </c>
      <c r="G193" s="19">
        <v>40216</v>
      </c>
      <c r="H193" s="19">
        <v>40216</v>
      </c>
      <c r="I193" s="19">
        <v>40216</v>
      </c>
      <c r="J193" s="496"/>
    </row>
    <row r="194" spans="1:10" ht="39" outlineLevel="1" x14ac:dyDescent="0.3">
      <c r="A194" s="7">
        <v>2</v>
      </c>
      <c r="B194" s="7" t="s">
        <v>28</v>
      </c>
      <c r="C194" s="130" t="s">
        <v>971</v>
      </c>
      <c r="D194" s="8" t="s">
        <v>1098</v>
      </c>
      <c r="E194" s="314" t="s">
        <v>67</v>
      </c>
      <c r="F194" s="85">
        <v>572418</v>
      </c>
      <c r="G194" s="85">
        <v>572418</v>
      </c>
      <c r="H194" s="85">
        <v>572418</v>
      </c>
      <c r="I194" s="85">
        <v>572418</v>
      </c>
      <c r="J194" s="1"/>
    </row>
    <row r="195" spans="1:10" ht="26" outlineLevel="1" x14ac:dyDescent="0.3">
      <c r="A195" s="7">
        <v>3</v>
      </c>
      <c r="B195" s="7" t="s">
        <v>28</v>
      </c>
      <c r="C195" s="130" t="s">
        <v>973</v>
      </c>
      <c r="D195" s="8" t="s">
        <v>410</v>
      </c>
      <c r="E195" s="314" t="s">
        <v>66</v>
      </c>
      <c r="F195" s="85">
        <v>62766</v>
      </c>
      <c r="G195" s="85">
        <v>62766</v>
      </c>
      <c r="H195" s="85">
        <v>62766</v>
      </c>
      <c r="I195" s="85">
        <v>62766</v>
      </c>
      <c r="J195" s="1"/>
    </row>
    <row r="196" spans="1:10" ht="39" outlineLevel="1" x14ac:dyDescent="0.3">
      <c r="A196" s="7">
        <v>4</v>
      </c>
      <c r="B196" s="7" t="s">
        <v>28</v>
      </c>
      <c r="C196" s="130" t="s">
        <v>974</v>
      </c>
      <c r="D196" s="8" t="s">
        <v>975</v>
      </c>
      <c r="E196" s="314" t="s">
        <v>66</v>
      </c>
      <c r="F196" s="85">
        <v>150458</v>
      </c>
      <c r="G196" s="85">
        <v>154994</v>
      </c>
      <c r="H196" s="85">
        <v>159692</v>
      </c>
      <c r="I196" s="85">
        <v>164556</v>
      </c>
      <c r="J196" s="1"/>
    </row>
    <row r="197" spans="1:10" ht="26" customHeight="1" outlineLevel="1" x14ac:dyDescent="0.3">
      <c r="A197" s="524">
        <v>5</v>
      </c>
      <c r="B197" s="524" t="s">
        <v>28</v>
      </c>
      <c r="C197" s="530" t="s">
        <v>1099</v>
      </c>
      <c r="D197" s="530" t="s">
        <v>414</v>
      </c>
      <c r="E197" s="314" t="s">
        <v>1108</v>
      </c>
      <c r="F197" s="85">
        <v>200000</v>
      </c>
      <c r="G197" s="85">
        <v>200000</v>
      </c>
      <c r="H197" s="85">
        <v>200000</v>
      </c>
      <c r="I197" s="85">
        <v>200000</v>
      </c>
      <c r="J197" s="1"/>
    </row>
    <row r="198" spans="1:10" ht="26" outlineLevel="1" x14ac:dyDescent="0.3">
      <c r="A198" s="524"/>
      <c r="B198" s="524"/>
      <c r="C198" s="559"/>
      <c r="D198" s="531"/>
      <c r="E198" s="2" t="s">
        <v>68</v>
      </c>
      <c r="F198" s="85">
        <v>705000</v>
      </c>
      <c r="G198" s="85">
        <v>705000</v>
      </c>
      <c r="H198" s="85">
        <v>705000</v>
      </c>
      <c r="I198" s="85">
        <v>705000</v>
      </c>
      <c r="J198" s="1"/>
    </row>
    <row r="199" spans="1:10" ht="26" customHeight="1" outlineLevel="1" x14ac:dyDescent="0.3">
      <c r="A199" s="524"/>
      <c r="B199" s="524"/>
      <c r="C199" s="559"/>
      <c r="D199" s="530" t="s">
        <v>1107</v>
      </c>
      <c r="E199" s="314" t="s">
        <v>1108</v>
      </c>
      <c r="F199" s="85">
        <v>735000</v>
      </c>
      <c r="G199" s="85">
        <v>735000</v>
      </c>
      <c r="H199" s="85">
        <v>735000</v>
      </c>
      <c r="I199" s="85">
        <v>735000</v>
      </c>
      <c r="J199" s="1"/>
    </row>
    <row r="200" spans="1:10" outlineLevel="1" x14ac:dyDescent="0.3">
      <c r="A200" s="524"/>
      <c r="B200" s="524"/>
      <c r="C200" s="531"/>
      <c r="D200" s="531"/>
      <c r="E200" s="314" t="s">
        <v>67</v>
      </c>
      <c r="F200" s="85">
        <v>540000</v>
      </c>
      <c r="G200" s="85">
        <v>540000</v>
      </c>
      <c r="H200" s="85">
        <v>540000</v>
      </c>
      <c r="I200" s="85">
        <v>540000</v>
      </c>
      <c r="J200" s="1"/>
    </row>
    <row r="201" spans="1:10" x14ac:dyDescent="0.3">
      <c r="A201" s="457" t="s">
        <v>420</v>
      </c>
      <c r="B201" s="458"/>
      <c r="C201" s="458"/>
      <c r="D201" s="458"/>
      <c r="E201" s="459"/>
      <c r="F201" s="39">
        <f>SUM(F202:F212)</f>
        <v>2027999</v>
      </c>
      <c r="G201" s="39">
        <f t="shared" ref="G201:I201" si="20">SUM(G202:G212)</f>
        <v>538483</v>
      </c>
      <c r="H201" s="39">
        <f t="shared" si="20"/>
        <v>538483</v>
      </c>
      <c r="I201" s="39">
        <f t="shared" si="20"/>
        <v>538483</v>
      </c>
      <c r="J201" s="1"/>
    </row>
    <row r="202" spans="1:10" ht="26" outlineLevel="1" x14ac:dyDescent="0.3">
      <c r="A202" s="7">
        <v>1</v>
      </c>
      <c r="B202" s="7" t="s">
        <v>29</v>
      </c>
      <c r="C202" s="1"/>
      <c r="D202" s="2" t="s">
        <v>423</v>
      </c>
      <c r="E202" s="8" t="s">
        <v>319</v>
      </c>
      <c r="F202" s="84">
        <v>214866</v>
      </c>
      <c r="G202" s="84">
        <v>214866</v>
      </c>
      <c r="H202" s="84">
        <v>214866</v>
      </c>
      <c r="I202" s="84">
        <v>214866</v>
      </c>
      <c r="J202" s="1"/>
    </row>
    <row r="203" spans="1:10" ht="26" outlineLevel="1" x14ac:dyDescent="0.3">
      <c r="A203" s="7">
        <v>2</v>
      </c>
      <c r="B203" s="7" t="s">
        <v>29</v>
      </c>
      <c r="C203" s="1"/>
      <c r="D203" s="2" t="s">
        <v>423</v>
      </c>
      <c r="E203" s="8" t="s">
        <v>66</v>
      </c>
      <c r="F203" s="84">
        <v>100203</v>
      </c>
      <c r="G203" s="84"/>
      <c r="H203" s="84"/>
      <c r="I203" s="84"/>
      <c r="J203" s="1"/>
    </row>
    <row r="204" spans="1:10" ht="26" outlineLevel="1" x14ac:dyDescent="0.3">
      <c r="A204" s="7">
        <v>3</v>
      </c>
      <c r="B204" s="7" t="s">
        <v>29</v>
      </c>
      <c r="C204" s="1"/>
      <c r="D204" s="2" t="s">
        <v>423</v>
      </c>
      <c r="E204" s="8" t="s">
        <v>68</v>
      </c>
      <c r="F204" s="20">
        <v>60000</v>
      </c>
      <c r="G204" s="84"/>
      <c r="H204" s="84"/>
      <c r="I204" s="84"/>
      <c r="J204" s="1"/>
    </row>
    <row r="205" spans="1:10" ht="26" outlineLevel="1" x14ac:dyDescent="0.3">
      <c r="A205" s="7">
        <v>5</v>
      </c>
      <c r="B205" s="7" t="s">
        <v>29</v>
      </c>
      <c r="C205" s="1"/>
      <c r="D205" s="54" t="s">
        <v>425</v>
      </c>
      <c r="E205" s="8" t="s">
        <v>319</v>
      </c>
      <c r="F205" s="84">
        <v>123297</v>
      </c>
      <c r="G205" s="84">
        <v>123297</v>
      </c>
      <c r="H205" s="84">
        <v>123297</v>
      </c>
      <c r="I205" s="84">
        <v>123297</v>
      </c>
      <c r="J205" s="1"/>
    </row>
    <row r="206" spans="1:10" ht="26" outlineLevel="1" x14ac:dyDescent="0.3">
      <c r="A206" s="7">
        <v>6</v>
      </c>
      <c r="B206" s="7" t="s">
        <v>29</v>
      </c>
      <c r="C206" s="1"/>
      <c r="D206" s="54" t="s">
        <v>425</v>
      </c>
      <c r="E206" s="8" t="s">
        <v>66</v>
      </c>
      <c r="F206" s="84">
        <v>38771</v>
      </c>
      <c r="G206" s="84"/>
      <c r="H206" s="84"/>
      <c r="I206" s="84"/>
      <c r="J206" s="1"/>
    </row>
    <row r="207" spans="1:10" ht="26" outlineLevel="1" x14ac:dyDescent="0.3">
      <c r="A207" s="7">
        <v>7</v>
      </c>
      <c r="B207" s="7" t="s">
        <v>29</v>
      </c>
      <c r="C207" s="1"/>
      <c r="D207" s="54" t="s">
        <v>425</v>
      </c>
      <c r="E207" s="8" t="s">
        <v>68</v>
      </c>
      <c r="F207" s="20">
        <v>6554</v>
      </c>
      <c r="G207" s="84"/>
      <c r="H207" s="84"/>
      <c r="I207" s="84"/>
      <c r="J207" s="1"/>
    </row>
    <row r="208" spans="1:10" ht="143" outlineLevel="1" x14ac:dyDescent="0.3">
      <c r="A208" s="7">
        <v>8</v>
      </c>
      <c r="B208" s="7" t="s">
        <v>29</v>
      </c>
      <c r="C208" s="1"/>
      <c r="D208" s="5" t="s">
        <v>427</v>
      </c>
      <c r="E208" s="24" t="s">
        <v>428</v>
      </c>
      <c r="F208" s="84">
        <v>1209695</v>
      </c>
      <c r="G208" s="84"/>
      <c r="H208" s="84"/>
      <c r="I208" s="84"/>
      <c r="J208" s="407" t="s">
        <v>1073</v>
      </c>
    </row>
    <row r="209" spans="1:10" ht="26" outlineLevel="1" x14ac:dyDescent="0.3">
      <c r="A209" s="7">
        <v>9</v>
      </c>
      <c r="B209" s="7" t="s">
        <v>29</v>
      </c>
      <c r="C209" s="1"/>
      <c r="D209" s="5" t="s">
        <v>430</v>
      </c>
      <c r="E209" s="8" t="s">
        <v>319</v>
      </c>
      <c r="F209" s="84">
        <v>164498</v>
      </c>
      <c r="G209" s="84">
        <v>164498</v>
      </c>
      <c r="H209" s="84">
        <v>164498</v>
      </c>
      <c r="I209" s="84">
        <v>164498</v>
      </c>
      <c r="J209" s="1"/>
    </row>
    <row r="210" spans="1:10" ht="26" outlineLevel="1" x14ac:dyDescent="0.3">
      <c r="A210" s="7">
        <v>10</v>
      </c>
      <c r="B210" s="7" t="s">
        <v>29</v>
      </c>
      <c r="C210" s="1"/>
      <c r="D210" s="5" t="s">
        <v>430</v>
      </c>
      <c r="E210" s="8" t="s">
        <v>66</v>
      </c>
      <c r="F210" s="84">
        <v>64293</v>
      </c>
      <c r="G210" s="84"/>
      <c r="H210" s="84"/>
      <c r="I210" s="84"/>
      <c r="J210" s="1"/>
    </row>
    <row r="211" spans="1:10" ht="26" outlineLevel="1" x14ac:dyDescent="0.3">
      <c r="A211" s="7">
        <v>11</v>
      </c>
      <c r="B211" s="7" t="s">
        <v>29</v>
      </c>
      <c r="C211" s="1"/>
      <c r="D211" s="5" t="s">
        <v>430</v>
      </c>
      <c r="E211" s="8" t="s">
        <v>68</v>
      </c>
      <c r="F211" s="20">
        <v>10000</v>
      </c>
      <c r="G211" s="84"/>
      <c r="H211" s="84"/>
      <c r="I211" s="84"/>
      <c r="J211" s="1"/>
    </row>
    <row r="212" spans="1:10" ht="26" outlineLevel="1" x14ac:dyDescent="0.3">
      <c r="A212" s="7">
        <v>12</v>
      </c>
      <c r="B212" s="7" t="s">
        <v>29</v>
      </c>
      <c r="C212" s="1"/>
      <c r="D212" s="5" t="s">
        <v>431</v>
      </c>
      <c r="E212" s="8" t="s">
        <v>319</v>
      </c>
      <c r="F212" s="84">
        <v>35822</v>
      </c>
      <c r="G212" s="84">
        <v>35822</v>
      </c>
      <c r="H212" s="84">
        <v>35822</v>
      </c>
      <c r="I212" s="84">
        <v>35822</v>
      </c>
      <c r="J212" s="1"/>
    </row>
    <row r="213" spans="1:10" x14ac:dyDescent="0.3">
      <c r="A213" s="457" t="s">
        <v>432</v>
      </c>
      <c r="B213" s="458"/>
      <c r="C213" s="458"/>
      <c r="D213" s="458"/>
      <c r="E213" s="459"/>
      <c r="F213" s="39">
        <f>F214</f>
        <v>587143</v>
      </c>
      <c r="G213" s="39">
        <f t="shared" ref="G213:I213" si="21">G214</f>
        <v>587143</v>
      </c>
      <c r="H213" s="39">
        <f t="shared" si="21"/>
        <v>587143</v>
      </c>
      <c r="I213" s="39">
        <f t="shared" si="21"/>
        <v>587143</v>
      </c>
      <c r="J213" s="1"/>
    </row>
    <row r="214" spans="1:10" ht="39" outlineLevel="1" x14ac:dyDescent="0.3">
      <c r="A214" s="7">
        <v>1</v>
      </c>
      <c r="B214" s="7" t="s">
        <v>29</v>
      </c>
      <c r="C214" s="1"/>
      <c r="D214" s="5" t="s">
        <v>436</v>
      </c>
      <c r="E214" s="8" t="s">
        <v>319</v>
      </c>
      <c r="F214" s="84">
        <v>587143</v>
      </c>
      <c r="G214" s="84">
        <v>587143</v>
      </c>
      <c r="H214" s="84">
        <v>587143</v>
      </c>
      <c r="I214" s="84">
        <v>587143</v>
      </c>
      <c r="J214" s="1"/>
    </row>
    <row r="215" spans="1:10" x14ac:dyDescent="0.3">
      <c r="A215" s="457" t="s">
        <v>437</v>
      </c>
      <c r="B215" s="458"/>
      <c r="C215" s="458"/>
      <c r="D215" s="458"/>
      <c r="E215" s="459"/>
      <c r="F215" s="39">
        <f>SUM(F216:F229)</f>
        <v>27413480</v>
      </c>
      <c r="G215" s="39">
        <f t="shared" ref="G215:I215" si="22">SUM(G216:G229)</f>
        <v>6735433</v>
      </c>
      <c r="H215" s="39">
        <f t="shared" si="22"/>
        <v>6735433</v>
      </c>
      <c r="I215" s="39">
        <f t="shared" si="22"/>
        <v>6735433</v>
      </c>
      <c r="J215" s="1"/>
    </row>
    <row r="216" spans="1:10" ht="65" outlineLevel="1" x14ac:dyDescent="0.3">
      <c r="A216" s="37">
        <v>1</v>
      </c>
      <c r="B216" s="7" t="s">
        <v>30</v>
      </c>
      <c r="C216" s="5" t="s">
        <v>440</v>
      </c>
      <c r="D216" s="5" t="s">
        <v>441</v>
      </c>
      <c r="E216" s="2" t="s">
        <v>66</v>
      </c>
      <c r="F216" s="95">
        <v>11424</v>
      </c>
      <c r="G216" s="95">
        <v>11424</v>
      </c>
      <c r="H216" s="95">
        <v>11424</v>
      </c>
      <c r="I216" s="95">
        <v>11424</v>
      </c>
      <c r="J216" s="407" t="s">
        <v>1074</v>
      </c>
    </row>
    <row r="217" spans="1:10" ht="78" customHeight="1" outlineLevel="1" x14ac:dyDescent="0.3">
      <c r="A217" s="493">
        <v>2</v>
      </c>
      <c r="B217" s="493" t="s">
        <v>30</v>
      </c>
      <c r="C217" s="497" t="s">
        <v>443</v>
      </c>
      <c r="D217" s="495" t="s">
        <v>444</v>
      </c>
      <c r="E217" s="2" t="s">
        <v>65</v>
      </c>
      <c r="F217" s="95">
        <v>71894</v>
      </c>
      <c r="G217" s="95">
        <v>71894</v>
      </c>
      <c r="H217" s="95">
        <v>71894</v>
      </c>
      <c r="I217" s="95">
        <v>71894</v>
      </c>
      <c r="J217" s="495" t="s">
        <v>1075</v>
      </c>
    </row>
    <row r="218" spans="1:10" outlineLevel="1" x14ac:dyDescent="0.3">
      <c r="A218" s="494"/>
      <c r="B218" s="494"/>
      <c r="C218" s="498"/>
      <c r="D218" s="496"/>
      <c r="E218" s="2" t="s">
        <v>66</v>
      </c>
      <c r="F218" s="95">
        <v>340106</v>
      </c>
      <c r="G218" s="95">
        <v>340106</v>
      </c>
      <c r="H218" s="95">
        <v>340106</v>
      </c>
      <c r="I218" s="95">
        <v>340106</v>
      </c>
      <c r="J218" s="496"/>
    </row>
    <row r="219" spans="1:10" ht="65" outlineLevel="1" x14ac:dyDescent="0.3">
      <c r="A219" s="37">
        <v>3</v>
      </c>
      <c r="B219" s="7" t="s">
        <v>30</v>
      </c>
      <c r="C219" s="5" t="s">
        <v>446</v>
      </c>
      <c r="D219" s="5" t="s">
        <v>447</v>
      </c>
      <c r="E219" s="2" t="s">
        <v>66</v>
      </c>
      <c r="F219" s="95">
        <v>400000</v>
      </c>
      <c r="G219" s="95">
        <v>400000</v>
      </c>
      <c r="H219" s="95">
        <v>400000</v>
      </c>
      <c r="I219" s="95">
        <v>400000</v>
      </c>
      <c r="J219" s="407" t="s">
        <v>1076</v>
      </c>
    </row>
    <row r="220" spans="1:10" ht="65" outlineLevel="1" x14ac:dyDescent="0.3">
      <c r="A220" s="37">
        <v>4</v>
      </c>
      <c r="B220" s="7" t="s">
        <v>30</v>
      </c>
      <c r="C220" s="5" t="s">
        <v>449</v>
      </c>
      <c r="D220" s="5" t="s">
        <v>210</v>
      </c>
      <c r="E220" s="2" t="s">
        <v>65</v>
      </c>
      <c r="F220" s="95">
        <v>47009</v>
      </c>
      <c r="G220" s="95">
        <v>47009</v>
      </c>
      <c r="H220" s="95">
        <v>47009</v>
      </c>
      <c r="I220" s="95">
        <v>47009</v>
      </c>
      <c r="J220" s="407" t="s">
        <v>1077</v>
      </c>
    </row>
    <row r="221" spans="1:10" ht="104" outlineLevel="1" x14ac:dyDescent="0.3">
      <c r="A221" s="37">
        <v>5</v>
      </c>
      <c r="B221" s="7" t="s">
        <v>30</v>
      </c>
      <c r="C221" s="5" t="s">
        <v>452</v>
      </c>
      <c r="D221" s="5" t="s">
        <v>453</v>
      </c>
      <c r="E221" s="2" t="s">
        <v>66</v>
      </c>
      <c r="F221" s="95">
        <v>60000</v>
      </c>
      <c r="G221" s="95">
        <v>60000</v>
      </c>
      <c r="H221" s="95">
        <v>60000</v>
      </c>
      <c r="I221" s="95">
        <v>60000</v>
      </c>
      <c r="J221" s="407" t="s">
        <v>1078</v>
      </c>
    </row>
    <row r="222" spans="1:10" ht="91" outlineLevel="1" x14ac:dyDescent="0.3">
      <c r="A222" s="37">
        <v>6</v>
      </c>
      <c r="B222" s="7" t="s">
        <v>30</v>
      </c>
      <c r="C222" s="5" t="s">
        <v>455</v>
      </c>
      <c r="D222" s="5" t="s">
        <v>210</v>
      </c>
      <c r="E222" s="2" t="s">
        <v>65</v>
      </c>
      <c r="F222" s="95">
        <v>43000</v>
      </c>
      <c r="G222" s="95">
        <v>43000</v>
      </c>
      <c r="H222" s="95">
        <v>43000</v>
      </c>
      <c r="I222" s="95">
        <v>43000</v>
      </c>
      <c r="J222" s="407" t="s">
        <v>1079</v>
      </c>
    </row>
    <row r="223" spans="1:10" ht="26" outlineLevel="1" x14ac:dyDescent="0.3">
      <c r="A223" s="37">
        <v>7</v>
      </c>
      <c r="B223" s="7" t="s">
        <v>30</v>
      </c>
      <c r="C223" s="24" t="s">
        <v>457</v>
      </c>
      <c r="D223" s="5" t="s">
        <v>453</v>
      </c>
      <c r="E223" s="2" t="s">
        <v>66</v>
      </c>
      <c r="F223" s="95">
        <v>70000</v>
      </c>
      <c r="G223" s="95">
        <v>70000</v>
      </c>
      <c r="H223" s="95">
        <v>70000</v>
      </c>
      <c r="I223" s="95">
        <v>70000</v>
      </c>
      <c r="J223" s="1"/>
    </row>
    <row r="224" spans="1:10" ht="26" outlineLevel="1" x14ac:dyDescent="0.3">
      <c r="A224" s="37">
        <v>8</v>
      </c>
      <c r="B224" s="7" t="s">
        <v>30</v>
      </c>
      <c r="C224" s="5" t="s">
        <v>458</v>
      </c>
      <c r="D224" s="5" t="s">
        <v>459</v>
      </c>
      <c r="E224" s="2" t="s">
        <v>67</v>
      </c>
      <c r="F224" s="95">
        <v>150000</v>
      </c>
      <c r="G224" s="95">
        <v>150000</v>
      </c>
      <c r="H224" s="95">
        <v>150000</v>
      </c>
      <c r="I224" s="95">
        <v>150000</v>
      </c>
      <c r="J224" s="1"/>
    </row>
    <row r="225" spans="1:14" outlineLevel="1" x14ac:dyDescent="0.3">
      <c r="A225" s="37">
        <v>9</v>
      </c>
      <c r="B225" s="7" t="s">
        <v>30</v>
      </c>
      <c r="C225" s="5" t="s">
        <v>460</v>
      </c>
      <c r="D225" s="5" t="s">
        <v>461</v>
      </c>
      <c r="E225" s="2" t="s">
        <v>65</v>
      </c>
      <c r="F225" s="95">
        <v>22000</v>
      </c>
      <c r="G225" s="95">
        <v>22000</v>
      </c>
      <c r="H225" s="95">
        <v>22000</v>
      </c>
      <c r="I225" s="95">
        <v>22000</v>
      </c>
      <c r="J225" s="1"/>
    </row>
    <row r="226" spans="1:14" ht="26" outlineLevel="1" x14ac:dyDescent="0.3">
      <c r="A226" s="37">
        <v>10</v>
      </c>
      <c r="B226" s="7" t="s">
        <v>30</v>
      </c>
      <c r="C226" s="5" t="s">
        <v>462</v>
      </c>
      <c r="D226" s="5" t="s">
        <v>463</v>
      </c>
      <c r="E226" s="2" t="s">
        <v>69</v>
      </c>
      <c r="F226" s="95">
        <v>3520000</v>
      </c>
      <c r="G226" s="95">
        <v>3520000</v>
      </c>
      <c r="H226" s="95">
        <v>3520000</v>
      </c>
      <c r="I226" s="95">
        <v>3520000</v>
      </c>
      <c r="J226" s="1"/>
    </row>
    <row r="227" spans="1:14" outlineLevel="1" x14ac:dyDescent="0.3">
      <c r="A227" s="493">
        <v>11</v>
      </c>
      <c r="B227" s="493" t="s">
        <v>30</v>
      </c>
      <c r="C227" s="495" t="s">
        <v>465</v>
      </c>
      <c r="D227" s="495" t="s">
        <v>466</v>
      </c>
      <c r="E227" s="2" t="s">
        <v>65</v>
      </c>
      <c r="F227" s="95">
        <v>50000</v>
      </c>
      <c r="G227" s="95">
        <v>50000</v>
      </c>
      <c r="H227" s="95">
        <v>50000</v>
      </c>
      <c r="I227" s="95">
        <v>50000</v>
      </c>
      <c r="J227" s="1"/>
    </row>
    <row r="228" spans="1:14" outlineLevel="1" x14ac:dyDescent="0.3">
      <c r="A228" s="494"/>
      <c r="B228" s="494"/>
      <c r="C228" s="496"/>
      <c r="D228" s="496"/>
      <c r="E228" s="2" t="s">
        <v>67</v>
      </c>
      <c r="F228" s="95">
        <v>1950000</v>
      </c>
      <c r="G228" s="95">
        <v>1950000</v>
      </c>
      <c r="H228" s="95">
        <v>1950000</v>
      </c>
      <c r="I228" s="95">
        <v>1950000</v>
      </c>
      <c r="J228" s="1"/>
      <c r="N228" s="212"/>
    </row>
    <row r="229" spans="1:14" ht="39" outlineLevel="1" x14ac:dyDescent="0.3">
      <c r="A229" s="399">
        <v>12</v>
      </c>
      <c r="B229" s="399" t="s">
        <v>30</v>
      </c>
      <c r="C229" s="403" t="s">
        <v>992</v>
      </c>
      <c r="D229" s="403" t="s">
        <v>993</v>
      </c>
      <c r="E229" s="267" t="s">
        <v>68</v>
      </c>
      <c r="F229" s="404">
        <v>20678047</v>
      </c>
      <c r="G229" s="404"/>
      <c r="H229" s="404"/>
      <c r="I229" s="404"/>
      <c r="J229" s="1"/>
      <c r="N229" s="212"/>
    </row>
    <row r="230" spans="1:14" x14ac:dyDescent="0.3">
      <c r="A230" s="457" t="s">
        <v>467</v>
      </c>
      <c r="B230" s="458"/>
      <c r="C230" s="458"/>
      <c r="D230" s="458"/>
      <c r="E230" s="459"/>
      <c r="F230" s="39">
        <f>F231+F232</f>
        <v>2492977</v>
      </c>
      <c r="G230" s="39">
        <f t="shared" ref="G230:I230" si="23">G231+G232</f>
        <v>2492977</v>
      </c>
      <c r="H230" s="39">
        <f t="shared" si="23"/>
        <v>2492977</v>
      </c>
      <c r="I230" s="39">
        <f t="shared" si="23"/>
        <v>2492977</v>
      </c>
      <c r="J230" s="1"/>
    </row>
    <row r="231" spans="1:14" ht="78" outlineLevel="1" x14ac:dyDescent="0.3">
      <c r="A231" s="7">
        <v>1</v>
      </c>
      <c r="B231" s="21" t="s">
        <v>470</v>
      </c>
      <c r="C231" s="2" t="s">
        <v>471</v>
      </c>
      <c r="D231" s="5" t="s">
        <v>472</v>
      </c>
      <c r="E231" s="48" t="s">
        <v>66</v>
      </c>
      <c r="F231" s="84">
        <v>1246489</v>
      </c>
      <c r="G231" s="84">
        <v>1246489</v>
      </c>
      <c r="H231" s="84">
        <v>1246489</v>
      </c>
      <c r="I231" s="84">
        <v>1246489</v>
      </c>
      <c r="J231" s="1"/>
    </row>
    <row r="232" spans="1:14" ht="26" outlineLevel="1" x14ac:dyDescent="0.3">
      <c r="A232" s="7">
        <v>2</v>
      </c>
      <c r="B232" s="21" t="s">
        <v>470</v>
      </c>
      <c r="C232" s="2" t="s">
        <v>473</v>
      </c>
      <c r="D232" s="5" t="s">
        <v>210</v>
      </c>
      <c r="E232" s="49" t="s">
        <v>66</v>
      </c>
      <c r="F232" s="84">
        <v>1246488</v>
      </c>
      <c r="G232" s="84">
        <v>1246488</v>
      </c>
      <c r="H232" s="84">
        <v>1246488</v>
      </c>
      <c r="I232" s="84">
        <v>1246488</v>
      </c>
      <c r="J232" s="1"/>
    </row>
    <row r="233" spans="1:14" x14ac:dyDescent="0.3">
      <c r="A233" s="457" t="s">
        <v>474</v>
      </c>
      <c r="B233" s="458"/>
      <c r="C233" s="458"/>
      <c r="D233" s="458"/>
      <c r="E233" s="459"/>
      <c r="F233" s="39">
        <f>SUM(F234:F276)</f>
        <v>3535291</v>
      </c>
      <c r="G233" s="39">
        <f t="shared" ref="G233:I233" si="24">SUM(G234:G276)</f>
        <v>3535291</v>
      </c>
      <c r="H233" s="39">
        <f t="shared" si="24"/>
        <v>3535291</v>
      </c>
      <c r="I233" s="39">
        <f t="shared" si="24"/>
        <v>3535291</v>
      </c>
      <c r="J233" s="1"/>
    </row>
    <row r="234" spans="1:14" outlineLevel="1" x14ac:dyDescent="0.3">
      <c r="A234" s="524">
        <v>1</v>
      </c>
      <c r="B234" s="514" t="s">
        <v>32</v>
      </c>
      <c r="C234" s="495" t="s">
        <v>477</v>
      </c>
      <c r="D234" s="495" t="s">
        <v>478</v>
      </c>
      <c r="E234" s="2" t="s">
        <v>67</v>
      </c>
      <c r="F234" s="95">
        <v>514918</v>
      </c>
      <c r="G234" s="95">
        <v>514918</v>
      </c>
      <c r="H234" s="95">
        <v>514918</v>
      </c>
      <c r="I234" s="95">
        <v>514918</v>
      </c>
      <c r="J234" s="1"/>
    </row>
    <row r="235" spans="1:14" ht="39" outlineLevel="1" x14ac:dyDescent="0.3">
      <c r="A235" s="524"/>
      <c r="B235" s="514"/>
      <c r="C235" s="509"/>
      <c r="D235" s="509"/>
      <c r="E235" s="47" t="s">
        <v>428</v>
      </c>
      <c r="F235" s="95">
        <v>59053</v>
      </c>
      <c r="G235" s="95">
        <v>59053</v>
      </c>
      <c r="H235" s="95">
        <v>59053</v>
      </c>
      <c r="I235" s="95">
        <v>59053</v>
      </c>
      <c r="J235" s="1"/>
    </row>
    <row r="236" spans="1:14" ht="91" outlineLevel="1" x14ac:dyDescent="0.3">
      <c r="A236" s="524"/>
      <c r="B236" s="514"/>
      <c r="C236" s="496"/>
      <c r="D236" s="496"/>
      <c r="E236" s="2" t="s">
        <v>170</v>
      </c>
      <c r="F236" s="95">
        <v>52996</v>
      </c>
      <c r="G236" s="95">
        <v>52996</v>
      </c>
      <c r="H236" s="95">
        <v>52996</v>
      </c>
      <c r="I236" s="95">
        <v>52996</v>
      </c>
      <c r="J236" s="1"/>
    </row>
    <row r="237" spans="1:14" outlineLevel="1" x14ac:dyDescent="0.3">
      <c r="A237" s="524">
        <v>2</v>
      </c>
      <c r="B237" s="514" t="s">
        <v>32</v>
      </c>
      <c r="C237" s="495" t="s">
        <v>480</v>
      </c>
      <c r="D237" s="495" t="s">
        <v>481</v>
      </c>
      <c r="E237" s="48" t="s">
        <v>66</v>
      </c>
      <c r="F237" s="95">
        <v>160798</v>
      </c>
      <c r="G237" s="95">
        <v>160798</v>
      </c>
      <c r="H237" s="95">
        <v>160798</v>
      </c>
      <c r="I237" s="95">
        <v>160798</v>
      </c>
      <c r="J237" s="1"/>
    </row>
    <row r="238" spans="1:14" ht="26" outlineLevel="1" x14ac:dyDescent="0.3">
      <c r="A238" s="524"/>
      <c r="B238" s="514"/>
      <c r="C238" s="496"/>
      <c r="D238" s="496"/>
      <c r="E238" s="49" t="s">
        <v>68</v>
      </c>
      <c r="F238" s="95">
        <v>6814</v>
      </c>
      <c r="G238" s="95">
        <v>6814</v>
      </c>
      <c r="H238" s="95">
        <v>6814</v>
      </c>
      <c r="I238" s="95">
        <v>6814</v>
      </c>
      <c r="J238" s="1"/>
    </row>
    <row r="239" spans="1:14" ht="47.5" customHeight="1" outlineLevel="1" x14ac:dyDescent="0.3">
      <c r="A239" s="7">
        <v>3</v>
      </c>
      <c r="B239" s="21" t="s">
        <v>32</v>
      </c>
      <c r="C239" s="5" t="s">
        <v>483</v>
      </c>
      <c r="D239" s="5" t="s">
        <v>484</v>
      </c>
      <c r="E239" s="49" t="s">
        <v>68</v>
      </c>
      <c r="F239" s="95">
        <v>64294</v>
      </c>
      <c r="G239" s="95">
        <v>64294</v>
      </c>
      <c r="H239" s="95">
        <v>64294</v>
      </c>
      <c r="I239" s="95">
        <v>64294</v>
      </c>
      <c r="J239" s="1"/>
    </row>
    <row r="240" spans="1:14" outlineLevel="1" x14ac:dyDescent="0.3">
      <c r="A240" s="524">
        <v>4</v>
      </c>
      <c r="B240" s="514" t="s">
        <v>32</v>
      </c>
      <c r="C240" s="497"/>
      <c r="D240" s="495" t="s">
        <v>486</v>
      </c>
      <c r="E240" s="49" t="s">
        <v>66</v>
      </c>
      <c r="F240" s="95">
        <v>27019</v>
      </c>
      <c r="G240" s="95">
        <v>27019</v>
      </c>
      <c r="H240" s="95">
        <v>27019</v>
      </c>
      <c r="I240" s="95">
        <v>27019</v>
      </c>
      <c r="J240" s="1"/>
    </row>
    <row r="241" spans="1:10" ht="26" outlineLevel="1" x14ac:dyDescent="0.3">
      <c r="A241" s="524"/>
      <c r="B241" s="514"/>
      <c r="C241" s="498"/>
      <c r="D241" s="496"/>
      <c r="E241" s="49" t="s">
        <v>68</v>
      </c>
      <c r="F241" s="95">
        <f>4593-1</f>
        <v>4592</v>
      </c>
      <c r="G241" s="95">
        <f t="shared" ref="G241:I241" si="25">4593-1</f>
        <v>4592</v>
      </c>
      <c r="H241" s="95">
        <f t="shared" si="25"/>
        <v>4592</v>
      </c>
      <c r="I241" s="95">
        <f t="shared" si="25"/>
        <v>4592</v>
      </c>
      <c r="J241" s="1"/>
    </row>
    <row r="242" spans="1:10" outlineLevel="1" x14ac:dyDescent="0.3">
      <c r="A242" s="524">
        <v>5</v>
      </c>
      <c r="B242" s="514" t="s">
        <v>32</v>
      </c>
      <c r="C242" s="497"/>
      <c r="D242" s="495" t="s">
        <v>488</v>
      </c>
      <c r="E242" s="49" t="s">
        <v>66</v>
      </c>
      <c r="F242" s="95">
        <v>247325</v>
      </c>
      <c r="G242" s="95">
        <v>247325</v>
      </c>
      <c r="H242" s="95">
        <v>247325</v>
      </c>
      <c r="I242" s="95">
        <v>247325</v>
      </c>
      <c r="J242" s="1"/>
    </row>
    <row r="243" spans="1:10" ht="26" outlineLevel="1" x14ac:dyDescent="0.3">
      <c r="A243" s="524"/>
      <c r="B243" s="514"/>
      <c r="C243" s="520"/>
      <c r="D243" s="509"/>
      <c r="E243" s="49" t="s">
        <v>69</v>
      </c>
      <c r="F243" s="95">
        <v>200000</v>
      </c>
      <c r="G243" s="95">
        <v>200000</v>
      </c>
      <c r="H243" s="95">
        <v>200000</v>
      </c>
      <c r="I243" s="95">
        <v>200000</v>
      </c>
      <c r="J243" s="1"/>
    </row>
    <row r="244" spans="1:10" ht="26" outlineLevel="1" x14ac:dyDescent="0.3">
      <c r="A244" s="524"/>
      <c r="B244" s="514"/>
      <c r="C244" s="498"/>
      <c r="D244" s="496"/>
      <c r="E244" s="49" t="s">
        <v>68</v>
      </c>
      <c r="F244" s="95">
        <v>102337</v>
      </c>
      <c r="G244" s="95">
        <v>102337</v>
      </c>
      <c r="H244" s="95">
        <v>102337</v>
      </c>
      <c r="I244" s="95">
        <v>102337</v>
      </c>
      <c r="J244" s="1"/>
    </row>
    <row r="245" spans="1:10" outlineLevel="1" x14ac:dyDescent="0.3">
      <c r="A245" s="524">
        <v>6</v>
      </c>
      <c r="B245" s="514" t="s">
        <v>32</v>
      </c>
      <c r="C245" s="495" t="s">
        <v>492</v>
      </c>
      <c r="D245" s="495" t="s">
        <v>493</v>
      </c>
      <c r="E245" s="49" t="s">
        <v>66</v>
      </c>
      <c r="F245" s="95">
        <v>7919</v>
      </c>
      <c r="G245" s="95">
        <v>7919</v>
      </c>
      <c r="H245" s="95">
        <v>7919</v>
      </c>
      <c r="I245" s="95">
        <v>7919</v>
      </c>
      <c r="J245" s="1"/>
    </row>
    <row r="246" spans="1:10" outlineLevel="1" x14ac:dyDescent="0.3">
      <c r="A246" s="524"/>
      <c r="B246" s="514"/>
      <c r="C246" s="509"/>
      <c r="D246" s="509"/>
      <c r="E246" s="2" t="s">
        <v>67</v>
      </c>
      <c r="F246" s="95">
        <v>25604</v>
      </c>
      <c r="G246" s="95">
        <v>25604</v>
      </c>
      <c r="H246" s="95">
        <v>25604</v>
      </c>
      <c r="I246" s="95">
        <v>25604</v>
      </c>
      <c r="J246" s="1"/>
    </row>
    <row r="247" spans="1:10" ht="65" outlineLevel="1" x14ac:dyDescent="0.3">
      <c r="A247" s="524"/>
      <c r="B247" s="514"/>
      <c r="C247" s="496"/>
      <c r="D247" s="509"/>
      <c r="E247" s="2" t="s">
        <v>496</v>
      </c>
      <c r="F247" s="95">
        <v>5740</v>
      </c>
      <c r="G247" s="95">
        <v>5740</v>
      </c>
      <c r="H247" s="95">
        <v>5740</v>
      </c>
      <c r="I247" s="95">
        <v>5740</v>
      </c>
      <c r="J247" s="1"/>
    </row>
    <row r="248" spans="1:10" ht="65" outlineLevel="1" x14ac:dyDescent="0.3">
      <c r="A248" s="524">
        <v>7</v>
      </c>
      <c r="B248" s="514" t="s">
        <v>32</v>
      </c>
      <c r="C248" s="495" t="s">
        <v>498</v>
      </c>
      <c r="D248" s="509"/>
      <c r="E248" s="2" t="s">
        <v>499</v>
      </c>
      <c r="F248" s="95">
        <v>341</v>
      </c>
      <c r="G248" s="95">
        <v>341</v>
      </c>
      <c r="H248" s="95">
        <v>341</v>
      </c>
      <c r="I248" s="95">
        <v>341</v>
      </c>
      <c r="J248" s="1"/>
    </row>
    <row r="249" spans="1:10" ht="39" outlineLevel="1" x14ac:dyDescent="0.3">
      <c r="A249" s="524"/>
      <c r="B249" s="514"/>
      <c r="C249" s="496"/>
      <c r="D249" s="509"/>
      <c r="E249" s="47" t="s">
        <v>428</v>
      </c>
      <c r="F249" s="95">
        <v>1506</v>
      </c>
      <c r="G249" s="95">
        <v>1506</v>
      </c>
      <c r="H249" s="95">
        <v>1506</v>
      </c>
      <c r="I249" s="95">
        <v>1506</v>
      </c>
      <c r="J249" s="1"/>
    </row>
    <row r="250" spans="1:10" ht="52" outlineLevel="1" x14ac:dyDescent="0.3">
      <c r="A250" s="7">
        <v>8</v>
      </c>
      <c r="B250" s="21" t="s">
        <v>32</v>
      </c>
      <c r="C250" s="5" t="s">
        <v>502</v>
      </c>
      <c r="D250" s="509"/>
      <c r="E250" s="49" t="s">
        <v>66</v>
      </c>
      <c r="F250" s="95">
        <v>59078</v>
      </c>
      <c r="G250" s="95">
        <v>59078</v>
      </c>
      <c r="H250" s="95">
        <v>59078</v>
      </c>
      <c r="I250" s="95">
        <v>59078</v>
      </c>
      <c r="J250" s="1"/>
    </row>
    <row r="251" spans="1:10" ht="52" outlineLevel="1" x14ac:dyDescent="0.3">
      <c r="A251" s="7">
        <v>9</v>
      </c>
      <c r="B251" s="21" t="s">
        <v>32</v>
      </c>
      <c r="C251" s="495" t="s">
        <v>504</v>
      </c>
      <c r="D251" s="509"/>
      <c r="E251" s="49" t="s">
        <v>66</v>
      </c>
      <c r="F251" s="95">
        <v>1350</v>
      </c>
      <c r="G251" s="95">
        <v>1350</v>
      </c>
      <c r="H251" s="95">
        <v>1350</v>
      </c>
      <c r="I251" s="95">
        <v>1350</v>
      </c>
      <c r="J251" s="1"/>
    </row>
    <row r="252" spans="1:10" ht="52" outlineLevel="1" x14ac:dyDescent="0.3">
      <c r="A252" s="7">
        <v>10</v>
      </c>
      <c r="B252" s="21" t="s">
        <v>32</v>
      </c>
      <c r="C252" s="496"/>
      <c r="D252" s="509"/>
      <c r="E252" s="47" t="s">
        <v>428</v>
      </c>
      <c r="F252" s="95">
        <v>128414</v>
      </c>
      <c r="G252" s="95">
        <v>128414</v>
      </c>
      <c r="H252" s="95">
        <v>128414</v>
      </c>
      <c r="I252" s="95">
        <v>128414</v>
      </c>
      <c r="J252" s="1"/>
    </row>
    <row r="253" spans="1:10" ht="91" outlineLevel="1" x14ac:dyDescent="0.3">
      <c r="A253" s="7">
        <v>11</v>
      </c>
      <c r="B253" s="21" t="s">
        <v>32</v>
      </c>
      <c r="C253" s="5" t="s">
        <v>506</v>
      </c>
      <c r="D253" s="509"/>
      <c r="E253" s="2" t="s">
        <v>170</v>
      </c>
      <c r="F253" s="95">
        <v>3331</v>
      </c>
      <c r="G253" s="95">
        <v>3331</v>
      </c>
      <c r="H253" s="95">
        <v>3331</v>
      </c>
      <c r="I253" s="95">
        <v>3331</v>
      </c>
      <c r="J253" s="1"/>
    </row>
    <row r="254" spans="1:10" ht="48.65" customHeight="1" outlineLevel="1" x14ac:dyDescent="0.3">
      <c r="A254" s="7">
        <v>12</v>
      </c>
      <c r="B254" s="21" t="s">
        <v>32</v>
      </c>
      <c r="C254" s="5" t="s">
        <v>508</v>
      </c>
      <c r="D254" s="509"/>
      <c r="E254" s="2" t="s">
        <v>67</v>
      </c>
      <c r="F254" s="95">
        <v>11689</v>
      </c>
      <c r="G254" s="95">
        <v>11689</v>
      </c>
      <c r="H254" s="95">
        <v>11689</v>
      </c>
      <c r="I254" s="95">
        <v>11689</v>
      </c>
      <c r="J254" s="1"/>
    </row>
    <row r="255" spans="1:10" ht="47.15" customHeight="1" outlineLevel="1" x14ac:dyDescent="0.3">
      <c r="A255" s="7">
        <v>13</v>
      </c>
      <c r="B255" s="21" t="s">
        <v>32</v>
      </c>
      <c r="C255" s="5" t="s">
        <v>509</v>
      </c>
      <c r="D255" s="509"/>
      <c r="E255" s="49" t="s">
        <v>66</v>
      </c>
      <c r="F255" s="95">
        <v>26263</v>
      </c>
      <c r="G255" s="95">
        <v>26263</v>
      </c>
      <c r="H255" s="95">
        <v>26263</v>
      </c>
      <c r="I255" s="95">
        <v>26263</v>
      </c>
      <c r="J255" s="1"/>
    </row>
    <row r="256" spans="1:10" ht="47.5" customHeight="1" outlineLevel="1" x14ac:dyDescent="0.3">
      <c r="A256" s="7">
        <v>14</v>
      </c>
      <c r="B256" s="21" t="s">
        <v>32</v>
      </c>
      <c r="C256" s="5" t="s">
        <v>510</v>
      </c>
      <c r="D256" s="509"/>
      <c r="E256" s="49" t="s">
        <v>66</v>
      </c>
      <c r="F256" s="95">
        <v>1355</v>
      </c>
      <c r="G256" s="95">
        <v>1355</v>
      </c>
      <c r="H256" s="95">
        <v>1355</v>
      </c>
      <c r="I256" s="95">
        <v>1355</v>
      </c>
      <c r="J256" s="1"/>
    </row>
    <row r="257" spans="1:10" outlineLevel="1" x14ac:dyDescent="0.3">
      <c r="A257" s="524">
        <v>15</v>
      </c>
      <c r="B257" s="514" t="s">
        <v>32</v>
      </c>
      <c r="C257" s="495" t="s">
        <v>511</v>
      </c>
      <c r="D257" s="509"/>
      <c r="E257" s="49" t="s">
        <v>66</v>
      </c>
      <c r="F257" s="95">
        <v>5116</v>
      </c>
      <c r="G257" s="95">
        <v>5116</v>
      </c>
      <c r="H257" s="95">
        <v>5116</v>
      </c>
      <c r="I257" s="95">
        <v>5116</v>
      </c>
      <c r="J257" s="1"/>
    </row>
    <row r="258" spans="1:10" ht="39" outlineLevel="1" x14ac:dyDescent="0.3">
      <c r="A258" s="524"/>
      <c r="B258" s="514"/>
      <c r="C258" s="496"/>
      <c r="D258" s="509"/>
      <c r="E258" s="2" t="s">
        <v>416</v>
      </c>
      <c r="F258" s="95">
        <v>61942</v>
      </c>
      <c r="G258" s="95">
        <v>61942</v>
      </c>
      <c r="H258" s="95">
        <v>61942</v>
      </c>
      <c r="I258" s="95">
        <v>61942</v>
      </c>
      <c r="J258" s="1"/>
    </row>
    <row r="259" spans="1:10" outlineLevel="1" x14ac:dyDescent="0.3">
      <c r="A259" s="524">
        <v>16</v>
      </c>
      <c r="B259" s="514" t="s">
        <v>32</v>
      </c>
      <c r="C259" s="495" t="s">
        <v>512</v>
      </c>
      <c r="D259" s="509"/>
      <c r="E259" s="562" t="s">
        <v>66</v>
      </c>
      <c r="F259" s="560">
        <f>42851+4361</f>
        <v>47212</v>
      </c>
      <c r="G259" s="560">
        <f t="shared" ref="G259:I259" si="26">42851+4361</f>
        <v>47212</v>
      </c>
      <c r="H259" s="560">
        <f t="shared" si="26"/>
        <v>47212</v>
      </c>
      <c r="I259" s="560">
        <f t="shared" si="26"/>
        <v>47212</v>
      </c>
      <c r="J259" s="1"/>
    </row>
    <row r="260" spans="1:10" ht="59.5" customHeight="1" outlineLevel="1" x14ac:dyDescent="0.3">
      <c r="A260" s="524"/>
      <c r="B260" s="514"/>
      <c r="C260" s="496"/>
      <c r="D260" s="509"/>
      <c r="E260" s="563"/>
      <c r="F260" s="561"/>
      <c r="G260" s="561"/>
      <c r="H260" s="561"/>
      <c r="I260" s="561"/>
      <c r="J260" s="1"/>
    </row>
    <row r="261" spans="1:10" ht="57.65" customHeight="1" outlineLevel="1" x14ac:dyDescent="0.3">
      <c r="A261" s="7">
        <v>17</v>
      </c>
      <c r="B261" s="21" t="s">
        <v>32</v>
      </c>
      <c r="C261" s="5" t="s">
        <v>515</v>
      </c>
      <c r="D261" s="509"/>
      <c r="E261" s="49" t="s">
        <v>428</v>
      </c>
      <c r="F261" s="95">
        <v>18198</v>
      </c>
      <c r="G261" s="95">
        <v>18198</v>
      </c>
      <c r="H261" s="95"/>
      <c r="I261" s="95"/>
      <c r="J261" s="1"/>
    </row>
    <row r="262" spans="1:10" ht="52" outlineLevel="1" x14ac:dyDescent="0.3">
      <c r="A262" s="7">
        <v>18</v>
      </c>
      <c r="B262" s="21" t="s">
        <v>32</v>
      </c>
      <c r="C262" s="5" t="s">
        <v>517</v>
      </c>
      <c r="D262" s="509"/>
      <c r="E262" s="49" t="s">
        <v>66</v>
      </c>
      <c r="F262" s="95">
        <v>16094</v>
      </c>
      <c r="G262" s="95">
        <v>16094</v>
      </c>
      <c r="H262" s="95">
        <v>34292</v>
      </c>
      <c r="I262" s="95">
        <v>34292</v>
      </c>
      <c r="J262" s="1"/>
    </row>
    <row r="263" spans="1:10" ht="52" outlineLevel="1" x14ac:dyDescent="0.3">
      <c r="A263" s="7">
        <v>19</v>
      </c>
      <c r="B263" s="21" t="s">
        <v>32</v>
      </c>
      <c r="C263" s="45" t="s">
        <v>519</v>
      </c>
      <c r="D263" s="496"/>
      <c r="E263" s="2" t="s">
        <v>67</v>
      </c>
      <c r="F263" s="95">
        <v>17752</v>
      </c>
      <c r="G263" s="95">
        <v>17752</v>
      </c>
      <c r="H263" s="95">
        <v>17752</v>
      </c>
      <c r="I263" s="95">
        <v>17752</v>
      </c>
      <c r="J263" s="1"/>
    </row>
    <row r="264" spans="1:10" ht="91" outlineLevel="1" x14ac:dyDescent="0.3">
      <c r="A264" s="524">
        <v>20</v>
      </c>
      <c r="B264" s="514" t="s">
        <v>32</v>
      </c>
      <c r="C264" s="495" t="s">
        <v>521</v>
      </c>
      <c r="D264" s="495" t="s">
        <v>522</v>
      </c>
      <c r="E264" s="2" t="s">
        <v>170</v>
      </c>
      <c r="F264" s="95">
        <v>58901</v>
      </c>
      <c r="G264" s="95">
        <v>58901</v>
      </c>
      <c r="H264" s="95">
        <v>58901</v>
      </c>
      <c r="I264" s="95">
        <v>58901</v>
      </c>
      <c r="J264" s="1"/>
    </row>
    <row r="265" spans="1:10" ht="91" outlineLevel="1" x14ac:dyDescent="0.3">
      <c r="A265" s="524"/>
      <c r="B265" s="514"/>
      <c r="C265" s="496"/>
      <c r="D265" s="509"/>
      <c r="E265" s="2" t="s">
        <v>524</v>
      </c>
      <c r="F265" s="95">
        <v>1666</v>
      </c>
      <c r="G265" s="95">
        <v>1666</v>
      </c>
      <c r="H265" s="95">
        <v>1666</v>
      </c>
      <c r="I265" s="95">
        <v>1666</v>
      </c>
      <c r="J265" s="1"/>
    </row>
    <row r="266" spans="1:10" ht="91" outlineLevel="1" x14ac:dyDescent="0.3">
      <c r="A266" s="524">
        <v>21</v>
      </c>
      <c r="B266" s="514" t="s">
        <v>32</v>
      </c>
      <c r="C266" s="495" t="s">
        <v>525</v>
      </c>
      <c r="D266" s="509"/>
      <c r="E266" s="2" t="s">
        <v>170</v>
      </c>
      <c r="F266" s="95">
        <v>241332</v>
      </c>
      <c r="G266" s="95">
        <v>241332</v>
      </c>
      <c r="H266" s="95">
        <v>241332</v>
      </c>
      <c r="I266" s="95">
        <v>241332</v>
      </c>
      <c r="J266" s="1"/>
    </row>
    <row r="267" spans="1:10" ht="91" outlineLevel="1" x14ac:dyDescent="0.3">
      <c r="A267" s="524"/>
      <c r="B267" s="514"/>
      <c r="C267" s="496"/>
      <c r="D267" s="509"/>
      <c r="E267" s="2" t="s">
        <v>524</v>
      </c>
      <c r="F267" s="95">
        <v>2551</v>
      </c>
      <c r="G267" s="95">
        <v>2551</v>
      </c>
      <c r="H267" s="95">
        <v>2551</v>
      </c>
      <c r="I267" s="95">
        <v>2551</v>
      </c>
      <c r="J267" s="1"/>
    </row>
    <row r="268" spans="1:10" ht="91" outlineLevel="1" x14ac:dyDescent="0.3">
      <c r="A268" s="7">
        <v>22</v>
      </c>
      <c r="B268" s="21" t="s">
        <v>32</v>
      </c>
      <c r="C268" s="5" t="s">
        <v>527</v>
      </c>
      <c r="D268" s="496"/>
      <c r="E268" s="2" t="s">
        <v>170</v>
      </c>
      <c r="F268" s="95">
        <v>68587</v>
      </c>
      <c r="G268" s="95">
        <v>68587</v>
      </c>
      <c r="H268" s="95">
        <v>68587</v>
      </c>
      <c r="I268" s="95">
        <v>68587</v>
      </c>
      <c r="J268" s="1"/>
    </row>
    <row r="269" spans="1:10" ht="52" outlineLevel="1" x14ac:dyDescent="0.3">
      <c r="A269" s="7">
        <v>23</v>
      </c>
      <c r="B269" s="21" t="s">
        <v>32</v>
      </c>
      <c r="C269" s="5" t="s">
        <v>529</v>
      </c>
      <c r="D269" s="495" t="s">
        <v>530</v>
      </c>
      <c r="E269" s="2" t="s">
        <v>68</v>
      </c>
      <c r="F269" s="95">
        <v>13088</v>
      </c>
      <c r="G269" s="95">
        <v>13088</v>
      </c>
      <c r="H269" s="95">
        <v>13088</v>
      </c>
      <c r="I269" s="95">
        <v>13088</v>
      </c>
      <c r="J269" s="1"/>
    </row>
    <row r="270" spans="1:10" ht="52" outlineLevel="1" x14ac:dyDescent="0.3">
      <c r="A270" s="7">
        <v>24</v>
      </c>
      <c r="B270" s="21" t="s">
        <v>32</v>
      </c>
      <c r="C270" s="5" t="s">
        <v>532</v>
      </c>
      <c r="D270" s="509"/>
      <c r="E270" s="2" t="s">
        <v>68</v>
      </c>
      <c r="F270" s="95">
        <v>155507</v>
      </c>
      <c r="G270" s="95">
        <v>155507</v>
      </c>
      <c r="H270" s="95">
        <v>155507</v>
      </c>
      <c r="I270" s="95">
        <v>155507</v>
      </c>
      <c r="J270" s="1"/>
    </row>
    <row r="271" spans="1:10" ht="52" outlineLevel="1" x14ac:dyDescent="0.3">
      <c r="A271" s="7">
        <v>25</v>
      </c>
      <c r="B271" s="21" t="s">
        <v>32</v>
      </c>
      <c r="C271" s="5" t="s">
        <v>533</v>
      </c>
      <c r="D271" s="509"/>
      <c r="E271" s="2" t="s">
        <v>68</v>
      </c>
      <c r="F271" s="95">
        <v>200000</v>
      </c>
      <c r="G271" s="95">
        <v>200000</v>
      </c>
      <c r="H271" s="95">
        <v>200000</v>
      </c>
      <c r="I271" s="95">
        <v>200000</v>
      </c>
      <c r="J271" s="1"/>
    </row>
    <row r="272" spans="1:10" ht="52" outlineLevel="1" x14ac:dyDescent="0.3">
      <c r="A272" s="7">
        <v>26</v>
      </c>
      <c r="B272" s="21" t="s">
        <v>32</v>
      </c>
      <c r="C272" s="5" t="s">
        <v>534</v>
      </c>
      <c r="D272" s="509"/>
      <c r="E272" s="2" t="s">
        <v>68</v>
      </c>
      <c r="F272" s="95">
        <v>100000</v>
      </c>
      <c r="G272" s="95">
        <v>100000</v>
      </c>
      <c r="H272" s="95">
        <v>100000</v>
      </c>
      <c r="I272" s="95">
        <v>100000</v>
      </c>
      <c r="J272" s="1"/>
    </row>
    <row r="273" spans="1:10" ht="52" outlineLevel="1" x14ac:dyDescent="0.3">
      <c r="A273" s="7">
        <v>27</v>
      </c>
      <c r="B273" s="21" t="s">
        <v>32</v>
      </c>
      <c r="C273" s="5" t="s">
        <v>535</v>
      </c>
      <c r="D273" s="509"/>
      <c r="E273" s="2" t="s">
        <v>68</v>
      </c>
      <c r="F273" s="95">
        <v>200000</v>
      </c>
      <c r="G273" s="95">
        <v>200000</v>
      </c>
      <c r="H273" s="95">
        <v>200000</v>
      </c>
      <c r="I273" s="95">
        <v>200000</v>
      </c>
      <c r="J273" s="1"/>
    </row>
    <row r="274" spans="1:10" ht="52" outlineLevel="1" x14ac:dyDescent="0.3">
      <c r="A274" s="7">
        <v>28</v>
      </c>
      <c r="B274" s="21" t="s">
        <v>32</v>
      </c>
      <c r="C274" s="5" t="s">
        <v>536</v>
      </c>
      <c r="D274" s="496"/>
      <c r="E274" s="2" t="s">
        <v>68</v>
      </c>
      <c r="F274" s="95">
        <v>396222</v>
      </c>
      <c r="G274" s="95">
        <v>396222</v>
      </c>
      <c r="H274" s="95">
        <v>396222</v>
      </c>
      <c r="I274" s="95">
        <v>396222</v>
      </c>
      <c r="J274" s="1"/>
    </row>
    <row r="275" spans="1:10" outlineLevel="1" x14ac:dyDescent="0.3">
      <c r="A275" s="524">
        <v>29</v>
      </c>
      <c r="B275" s="497" t="s">
        <v>32</v>
      </c>
      <c r="C275" s="495"/>
      <c r="D275" s="495" t="s">
        <v>210</v>
      </c>
      <c r="E275" s="49" t="s">
        <v>66</v>
      </c>
      <c r="F275" s="95">
        <f>188058+4511+1221+21724</f>
        <v>215514</v>
      </c>
      <c r="G275" s="95">
        <f t="shared" ref="G275:I275" si="27">188058+4511+1221+21724</f>
        <v>215514</v>
      </c>
      <c r="H275" s="95">
        <f t="shared" si="27"/>
        <v>215514</v>
      </c>
      <c r="I275" s="95">
        <f t="shared" si="27"/>
        <v>215514</v>
      </c>
      <c r="J275" s="1"/>
    </row>
    <row r="276" spans="1:10" ht="65" outlineLevel="1" x14ac:dyDescent="0.3">
      <c r="A276" s="524"/>
      <c r="B276" s="498"/>
      <c r="C276" s="496"/>
      <c r="D276" s="496"/>
      <c r="E276" s="2" t="s">
        <v>499</v>
      </c>
      <c r="F276" s="95">
        <f>1094+3000-1094-3000+2873</f>
        <v>2873</v>
      </c>
      <c r="G276" s="95">
        <f t="shared" ref="G276:I276" si="28">1094+3000-1094-3000+2873</f>
        <v>2873</v>
      </c>
      <c r="H276" s="95">
        <f t="shared" si="28"/>
        <v>2873</v>
      </c>
      <c r="I276" s="95">
        <f t="shared" si="28"/>
        <v>2873</v>
      </c>
      <c r="J276" s="1"/>
    </row>
    <row r="277" spans="1:10" x14ac:dyDescent="0.3">
      <c r="A277" s="457" t="s">
        <v>538</v>
      </c>
      <c r="B277" s="458"/>
      <c r="C277" s="458"/>
      <c r="D277" s="458"/>
      <c r="E277" s="459"/>
      <c r="F277" s="39">
        <f>SUM(F278:F285)</f>
        <v>3014171</v>
      </c>
      <c r="G277" s="39">
        <f t="shared" ref="G277:I277" si="29">SUM(G278:G285)</f>
        <v>4187735</v>
      </c>
      <c r="H277" s="39">
        <f t="shared" si="29"/>
        <v>4496723</v>
      </c>
      <c r="I277" s="39">
        <f t="shared" si="29"/>
        <v>4670723</v>
      </c>
      <c r="J277" s="1"/>
    </row>
    <row r="278" spans="1:10" ht="39" outlineLevel="1" x14ac:dyDescent="0.3">
      <c r="A278" s="7">
        <v>1</v>
      </c>
      <c r="B278" s="7" t="s">
        <v>33</v>
      </c>
      <c r="C278" s="5" t="s">
        <v>541</v>
      </c>
      <c r="D278" s="10" t="s">
        <v>542</v>
      </c>
      <c r="E278" s="5" t="s">
        <v>66</v>
      </c>
      <c r="F278" s="84">
        <v>34913</v>
      </c>
      <c r="G278" s="20">
        <v>34913</v>
      </c>
      <c r="H278" s="20">
        <v>34913</v>
      </c>
      <c r="I278" s="20">
        <v>34913</v>
      </c>
      <c r="J278" s="1"/>
    </row>
    <row r="279" spans="1:10" outlineLevel="1" x14ac:dyDescent="0.3">
      <c r="A279" s="524">
        <v>2</v>
      </c>
      <c r="B279" s="493" t="s">
        <v>33</v>
      </c>
      <c r="C279" s="495" t="s">
        <v>543</v>
      </c>
      <c r="D279" s="541" t="s">
        <v>544</v>
      </c>
      <c r="E279" s="5" t="s">
        <v>66</v>
      </c>
      <c r="F279" s="84">
        <v>671123</v>
      </c>
      <c r="G279" s="20">
        <v>671123</v>
      </c>
      <c r="H279" s="20">
        <v>671123</v>
      </c>
      <c r="I279" s="20">
        <v>671123</v>
      </c>
      <c r="J279" s="1"/>
    </row>
    <row r="280" spans="1:10" ht="91" outlineLevel="1" x14ac:dyDescent="0.3">
      <c r="A280" s="524"/>
      <c r="B280" s="494"/>
      <c r="C280" s="496"/>
      <c r="D280" s="537"/>
      <c r="E280" s="5" t="s">
        <v>545</v>
      </c>
      <c r="F280" s="84">
        <v>169221</v>
      </c>
      <c r="G280" s="20">
        <v>169221</v>
      </c>
      <c r="H280" s="20">
        <v>169221</v>
      </c>
      <c r="I280" s="20">
        <v>169221</v>
      </c>
      <c r="J280" s="1"/>
    </row>
    <row r="281" spans="1:10" ht="39" outlineLevel="1" x14ac:dyDescent="0.3">
      <c r="A281" s="7">
        <v>3</v>
      </c>
      <c r="B281" s="7" t="s">
        <v>33</v>
      </c>
      <c r="C281" s="5" t="s">
        <v>546</v>
      </c>
      <c r="D281" s="10" t="s">
        <v>544</v>
      </c>
      <c r="E281" s="5" t="s">
        <v>66</v>
      </c>
      <c r="F281" s="84">
        <f>52511+42907+100000</f>
        <v>195418</v>
      </c>
      <c r="G281" s="84">
        <f t="shared" ref="G281:I281" si="30">52511+42907+100000</f>
        <v>195418</v>
      </c>
      <c r="H281" s="84">
        <f t="shared" si="30"/>
        <v>195418</v>
      </c>
      <c r="I281" s="84">
        <f t="shared" si="30"/>
        <v>195418</v>
      </c>
      <c r="J281" s="1"/>
    </row>
    <row r="282" spans="1:10" ht="26" outlineLevel="1" x14ac:dyDescent="0.3">
      <c r="A282" s="7">
        <v>4</v>
      </c>
      <c r="B282" s="7" t="s">
        <v>33</v>
      </c>
      <c r="C282" s="5" t="s">
        <v>547</v>
      </c>
      <c r="D282" s="10" t="s">
        <v>548</v>
      </c>
      <c r="E282" s="5" t="s">
        <v>67</v>
      </c>
      <c r="F282" s="20">
        <f>575523+10000+296000</f>
        <v>881523</v>
      </c>
      <c r="G282" s="20">
        <f t="shared" ref="G282:I282" si="31">575523+10000+296000</f>
        <v>881523</v>
      </c>
      <c r="H282" s="20">
        <f t="shared" si="31"/>
        <v>881523</v>
      </c>
      <c r="I282" s="20">
        <f t="shared" si="31"/>
        <v>881523</v>
      </c>
      <c r="J282" s="1"/>
    </row>
    <row r="283" spans="1:10" ht="26" outlineLevel="1" x14ac:dyDescent="0.3">
      <c r="A283" s="7">
        <v>5</v>
      </c>
      <c r="B283" s="7" t="s">
        <v>33</v>
      </c>
      <c r="C283" s="5" t="s">
        <v>1100</v>
      </c>
      <c r="D283" s="10" t="s">
        <v>1103</v>
      </c>
      <c r="E283" s="5" t="s">
        <v>67</v>
      </c>
      <c r="F283" s="20">
        <v>554190</v>
      </c>
      <c r="G283" s="20">
        <v>1637190</v>
      </c>
      <c r="H283" s="20">
        <v>1886190</v>
      </c>
      <c r="I283" s="20">
        <v>2060190</v>
      </c>
      <c r="J283" s="1"/>
    </row>
    <row r="284" spans="1:10" outlineLevel="1" x14ac:dyDescent="0.3">
      <c r="A284" s="7">
        <v>6</v>
      </c>
      <c r="B284" s="7" t="s">
        <v>33</v>
      </c>
      <c r="C284" s="5" t="s">
        <v>1101</v>
      </c>
      <c r="D284" s="10" t="s">
        <v>548</v>
      </c>
      <c r="E284" s="5" t="s">
        <v>67</v>
      </c>
      <c r="F284" s="20">
        <v>455523</v>
      </c>
      <c r="G284" s="20">
        <v>455523</v>
      </c>
      <c r="H284" s="20">
        <v>455523</v>
      </c>
      <c r="I284" s="20">
        <v>455523</v>
      </c>
      <c r="J284" s="1"/>
    </row>
    <row r="285" spans="1:10" ht="39" outlineLevel="1" x14ac:dyDescent="0.3">
      <c r="A285" s="7">
        <v>7</v>
      </c>
      <c r="B285" s="7" t="s">
        <v>33</v>
      </c>
      <c r="C285" s="5" t="s">
        <v>1102</v>
      </c>
      <c r="D285" s="10" t="s">
        <v>544</v>
      </c>
      <c r="E285" s="5" t="s">
        <v>428</v>
      </c>
      <c r="F285" s="20">
        <v>52260</v>
      </c>
      <c r="G285" s="20">
        <v>142824</v>
      </c>
      <c r="H285" s="20">
        <v>202812</v>
      </c>
      <c r="I285" s="20">
        <v>202812</v>
      </c>
      <c r="J285" s="1"/>
    </row>
    <row r="286" spans="1:10" x14ac:dyDescent="0.3">
      <c r="A286" s="457" t="s">
        <v>550</v>
      </c>
      <c r="B286" s="458"/>
      <c r="C286" s="458"/>
      <c r="D286" s="458"/>
      <c r="E286" s="459"/>
      <c r="F286" s="39">
        <f>SUM(F287:F313)</f>
        <v>4596501</v>
      </c>
      <c r="G286" s="39">
        <f t="shared" ref="G286:I286" si="32">SUM(G287:G313)</f>
        <v>4596501</v>
      </c>
      <c r="H286" s="39">
        <f t="shared" si="32"/>
        <v>4596501</v>
      </c>
      <c r="I286" s="39">
        <f t="shared" si="32"/>
        <v>4596501</v>
      </c>
      <c r="J286" s="1"/>
    </row>
    <row r="287" spans="1:10" ht="39" outlineLevel="1" x14ac:dyDescent="0.3">
      <c r="A287" s="7">
        <v>1</v>
      </c>
      <c r="B287" s="4" t="s">
        <v>36</v>
      </c>
      <c r="C287" s="208" t="s">
        <v>553</v>
      </c>
      <c r="D287" s="208" t="s">
        <v>554</v>
      </c>
      <c r="E287" s="208" t="s">
        <v>66</v>
      </c>
      <c r="F287" s="96">
        <v>30000</v>
      </c>
      <c r="G287" s="96">
        <v>30000</v>
      </c>
      <c r="H287" s="96">
        <v>30000</v>
      </c>
      <c r="I287" s="96">
        <v>30000</v>
      </c>
      <c r="J287" s="1"/>
    </row>
    <row r="288" spans="1:10" ht="26" outlineLevel="1" x14ac:dyDescent="0.3">
      <c r="A288" s="7">
        <v>2</v>
      </c>
      <c r="B288" s="4" t="s">
        <v>36</v>
      </c>
      <c r="C288" s="208" t="s">
        <v>556</v>
      </c>
      <c r="D288" s="208" t="s">
        <v>554</v>
      </c>
      <c r="E288" s="208" t="s">
        <v>557</v>
      </c>
      <c r="F288" s="96">
        <v>4229</v>
      </c>
      <c r="G288" s="96">
        <v>4229</v>
      </c>
      <c r="H288" s="96">
        <v>4229</v>
      </c>
      <c r="I288" s="96">
        <v>4229</v>
      </c>
      <c r="J288" s="1"/>
    </row>
    <row r="289" spans="1:10" ht="117" outlineLevel="1" x14ac:dyDescent="0.3">
      <c r="A289" s="7">
        <v>3</v>
      </c>
      <c r="B289" s="7" t="s">
        <v>36</v>
      </c>
      <c r="C289" s="208" t="s">
        <v>558</v>
      </c>
      <c r="D289" s="208" t="s">
        <v>559</v>
      </c>
      <c r="E289" s="208" t="s">
        <v>66</v>
      </c>
      <c r="F289" s="96">
        <v>152059</v>
      </c>
      <c r="G289" s="96">
        <v>152059</v>
      </c>
      <c r="H289" s="96">
        <v>152059</v>
      </c>
      <c r="I289" s="96">
        <v>152059</v>
      </c>
      <c r="J289" s="407" t="s">
        <v>1082</v>
      </c>
    </row>
    <row r="290" spans="1:10" ht="26" outlineLevel="1" x14ac:dyDescent="0.3">
      <c r="A290" s="7">
        <v>4</v>
      </c>
      <c r="B290" s="7" t="s">
        <v>36</v>
      </c>
      <c r="C290" s="208" t="s">
        <v>561</v>
      </c>
      <c r="D290" s="208" t="s">
        <v>562</v>
      </c>
      <c r="E290" s="208" t="s">
        <v>66</v>
      </c>
      <c r="F290" s="96">
        <v>56700</v>
      </c>
      <c r="G290" s="96">
        <v>56700</v>
      </c>
      <c r="H290" s="96">
        <v>56700</v>
      </c>
      <c r="I290" s="96">
        <v>56700</v>
      </c>
      <c r="J290" s="1"/>
    </row>
    <row r="291" spans="1:10" ht="26" outlineLevel="1" x14ac:dyDescent="0.3">
      <c r="A291" s="7">
        <v>5</v>
      </c>
      <c r="B291" s="7" t="s">
        <v>36</v>
      </c>
      <c r="C291" s="283" t="s">
        <v>564</v>
      </c>
      <c r="D291" s="283" t="s">
        <v>565</v>
      </c>
      <c r="E291" s="283" t="s">
        <v>66</v>
      </c>
      <c r="F291" s="96">
        <v>3000</v>
      </c>
      <c r="G291" s="96">
        <v>3000</v>
      </c>
      <c r="H291" s="96">
        <v>3000</v>
      </c>
      <c r="I291" s="96">
        <v>3000</v>
      </c>
      <c r="J291" s="1"/>
    </row>
    <row r="292" spans="1:10" ht="26" outlineLevel="1" x14ac:dyDescent="0.3">
      <c r="A292" s="7">
        <v>6</v>
      </c>
      <c r="B292" s="7" t="s">
        <v>36</v>
      </c>
      <c r="C292" s="283" t="s">
        <v>566</v>
      </c>
      <c r="D292" s="283" t="s">
        <v>565</v>
      </c>
      <c r="E292" s="283" t="s">
        <v>66</v>
      </c>
      <c r="F292" s="96">
        <v>55724</v>
      </c>
      <c r="G292" s="96">
        <v>55724</v>
      </c>
      <c r="H292" s="96">
        <v>55724</v>
      </c>
      <c r="I292" s="96">
        <v>55724</v>
      </c>
      <c r="J292" s="1"/>
    </row>
    <row r="293" spans="1:10" ht="26" outlineLevel="1" x14ac:dyDescent="0.3">
      <c r="A293" s="7">
        <v>7</v>
      </c>
      <c r="B293" s="7" t="s">
        <v>36</v>
      </c>
      <c r="C293" s="283" t="s">
        <v>567</v>
      </c>
      <c r="D293" s="283" t="s">
        <v>568</v>
      </c>
      <c r="E293" s="283" t="s">
        <v>66</v>
      </c>
      <c r="F293" s="96">
        <v>184483</v>
      </c>
      <c r="G293" s="96">
        <v>184483</v>
      </c>
      <c r="H293" s="96">
        <v>184483</v>
      </c>
      <c r="I293" s="96">
        <v>184483</v>
      </c>
      <c r="J293" s="1"/>
    </row>
    <row r="294" spans="1:10" ht="159" customHeight="1" outlineLevel="1" x14ac:dyDescent="0.3">
      <c r="A294" s="7">
        <v>8</v>
      </c>
      <c r="B294" s="7" t="s">
        <v>36</v>
      </c>
      <c r="C294" s="208" t="s">
        <v>569</v>
      </c>
      <c r="D294" s="208" t="s">
        <v>568</v>
      </c>
      <c r="E294" s="208" t="s">
        <v>66</v>
      </c>
      <c r="F294" s="96">
        <v>57606</v>
      </c>
      <c r="G294" s="96">
        <v>57606</v>
      </c>
      <c r="H294" s="96">
        <v>57606</v>
      </c>
      <c r="I294" s="96">
        <v>57606</v>
      </c>
      <c r="J294" s="407" t="s">
        <v>1081</v>
      </c>
    </row>
    <row r="295" spans="1:10" ht="26" outlineLevel="1" x14ac:dyDescent="0.3">
      <c r="A295" s="7">
        <v>9</v>
      </c>
      <c r="B295" s="7" t="s">
        <v>36</v>
      </c>
      <c r="C295" s="208" t="s">
        <v>571</v>
      </c>
      <c r="D295" s="208" t="s">
        <v>568</v>
      </c>
      <c r="E295" s="208" t="s">
        <v>557</v>
      </c>
      <c r="F295" s="96">
        <v>10000</v>
      </c>
      <c r="G295" s="96">
        <v>10000</v>
      </c>
      <c r="H295" s="96">
        <v>10000</v>
      </c>
      <c r="I295" s="96">
        <v>10000</v>
      </c>
      <c r="J295" s="1"/>
    </row>
    <row r="296" spans="1:10" ht="26" outlineLevel="1" x14ac:dyDescent="0.3">
      <c r="A296" s="7">
        <v>10</v>
      </c>
      <c r="B296" s="7" t="s">
        <v>36</v>
      </c>
      <c r="C296" s="208" t="s">
        <v>572</v>
      </c>
      <c r="D296" s="208" t="s">
        <v>210</v>
      </c>
      <c r="E296" s="208" t="s">
        <v>66</v>
      </c>
      <c r="F296" s="96">
        <v>147000</v>
      </c>
      <c r="G296" s="96">
        <v>147000</v>
      </c>
      <c r="H296" s="96">
        <v>147000</v>
      </c>
      <c r="I296" s="96">
        <v>147000</v>
      </c>
      <c r="J296" s="1"/>
    </row>
    <row r="297" spans="1:10" ht="78" outlineLevel="1" x14ac:dyDescent="0.3">
      <c r="A297" s="7">
        <v>11</v>
      </c>
      <c r="B297" s="7" t="s">
        <v>36</v>
      </c>
      <c r="C297" s="208" t="s">
        <v>573</v>
      </c>
      <c r="D297" s="208" t="s">
        <v>574</v>
      </c>
      <c r="E297" s="208" t="s">
        <v>67</v>
      </c>
      <c r="F297" s="96">
        <v>393355</v>
      </c>
      <c r="G297" s="96">
        <v>393355</v>
      </c>
      <c r="H297" s="96">
        <v>393355</v>
      </c>
      <c r="I297" s="96">
        <v>393355</v>
      </c>
      <c r="J297" s="407" t="s">
        <v>1080</v>
      </c>
    </row>
    <row r="298" spans="1:10" ht="39" outlineLevel="1" x14ac:dyDescent="0.3">
      <c r="A298" s="7">
        <v>12</v>
      </c>
      <c r="B298" s="7" t="s">
        <v>36</v>
      </c>
      <c r="C298" s="208" t="s">
        <v>576</v>
      </c>
      <c r="D298" s="283" t="s">
        <v>577</v>
      </c>
      <c r="E298" s="208" t="s">
        <v>66</v>
      </c>
      <c r="F298" s="96">
        <v>48355</v>
      </c>
      <c r="G298" s="96">
        <v>48355</v>
      </c>
      <c r="H298" s="96">
        <v>48355</v>
      </c>
      <c r="I298" s="96">
        <v>48355</v>
      </c>
      <c r="J298" s="1"/>
    </row>
    <row r="299" spans="1:10" ht="169" outlineLevel="1" x14ac:dyDescent="0.3">
      <c r="A299" s="7">
        <v>13</v>
      </c>
      <c r="B299" s="7" t="s">
        <v>36</v>
      </c>
      <c r="C299" s="208" t="s">
        <v>578</v>
      </c>
      <c r="D299" s="208" t="s">
        <v>577</v>
      </c>
      <c r="E299" s="208" t="s">
        <v>66</v>
      </c>
      <c r="F299" s="96">
        <v>50000</v>
      </c>
      <c r="G299" s="96">
        <v>50000</v>
      </c>
      <c r="H299" s="96">
        <v>50000</v>
      </c>
      <c r="I299" s="96">
        <v>50000</v>
      </c>
      <c r="J299" s="407" t="s">
        <v>1083</v>
      </c>
    </row>
    <row r="300" spans="1:10" ht="39" outlineLevel="1" x14ac:dyDescent="0.3">
      <c r="A300" s="7">
        <v>14</v>
      </c>
      <c r="B300" s="7" t="s">
        <v>36</v>
      </c>
      <c r="C300" s="211" t="s">
        <v>581</v>
      </c>
      <c r="D300" s="283" t="s">
        <v>577</v>
      </c>
      <c r="E300" s="208" t="s">
        <v>66</v>
      </c>
      <c r="F300" s="96">
        <v>30000</v>
      </c>
      <c r="G300" s="96">
        <v>30000</v>
      </c>
      <c r="H300" s="96">
        <v>30000</v>
      </c>
      <c r="I300" s="96">
        <v>30000</v>
      </c>
      <c r="J300" s="1"/>
    </row>
    <row r="301" spans="1:10" ht="156" outlineLevel="1" x14ac:dyDescent="0.3">
      <c r="A301" s="7">
        <v>15</v>
      </c>
      <c r="B301" s="4" t="s">
        <v>36</v>
      </c>
      <c r="C301" s="53" t="s">
        <v>583</v>
      </c>
      <c r="D301" s="558" t="s">
        <v>577</v>
      </c>
      <c r="E301" s="208" t="s">
        <v>67</v>
      </c>
      <c r="F301" s="96">
        <v>94902</v>
      </c>
      <c r="G301" s="96">
        <v>94902</v>
      </c>
      <c r="H301" s="96">
        <v>94902</v>
      </c>
      <c r="I301" s="96">
        <v>94902</v>
      </c>
      <c r="J301" s="1"/>
    </row>
    <row r="302" spans="1:10" ht="52" outlineLevel="1" x14ac:dyDescent="0.3">
      <c r="A302" s="7">
        <v>16</v>
      </c>
      <c r="B302" s="4" t="s">
        <v>36</v>
      </c>
      <c r="C302" s="53" t="s">
        <v>585</v>
      </c>
      <c r="D302" s="558"/>
      <c r="E302" s="208" t="s">
        <v>67</v>
      </c>
      <c r="F302" s="96">
        <v>343659</v>
      </c>
      <c r="G302" s="96">
        <v>343659</v>
      </c>
      <c r="H302" s="96">
        <v>343659</v>
      </c>
      <c r="I302" s="96">
        <v>343659</v>
      </c>
      <c r="J302" s="1"/>
    </row>
    <row r="303" spans="1:10" ht="117" outlineLevel="1" x14ac:dyDescent="0.3">
      <c r="A303" s="7">
        <v>17</v>
      </c>
      <c r="B303" s="4" t="s">
        <v>36</v>
      </c>
      <c r="C303" s="53" t="s">
        <v>586</v>
      </c>
      <c r="D303" s="558"/>
      <c r="E303" s="208" t="s">
        <v>67</v>
      </c>
      <c r="F303" s="96">
        <v>54180</v>
      </c>
      <c r="G303" s="96">
        <v>54180</v>
      </c>
      <c r="H303" s="96">
        <v>54180</v>
      </c>
      <c r="I303" s="96">
        <v>54180</v>
      </c>
      <c r="J303" s="407" t="s">
        <v>1084</v>
      </c>
    </row>
    <row r="304" spans="1:10" ht="117" outlineLevel="1" x14ac:dyDescent="0.3">
      <c r="A304" s="7">
        <v>18</v>
      </c>
      <c r="B304" s="4" t="s">
        <v>36</v>
      </c>
      <c r="C304" s="53" t="s">
        <v>588</v>
      </c>
      <c r="D304" s="558"/>
      <c r="E304" s="208" t="s">
        <v>66</v>
      </c>
      <c r="F304" s="96">
        <v>896345</v>
      </c>
      <c r="G304" s="96">
        <v>896345</v>
      </c>
      <c r="H304" s="96">
        <v>896345</v>
      </c>
      <c r="I304" s="96">
        <v>896345</v>
      </c>
      <c r="J304" s="407" t="s">
        <v>1085</v>
      </c>
    </row>
    <row r="305" spans="1:10" outlineLevel="1" x14ac:dyDescent="0.3">
      <c r="A305" s="524">
        <v>19</v>
      </c>
      <c r="B305" s="524" t="s">
        <v>36</v>
      </c>
      <c r="C305" s="488" t="s">
        <v>590</v>
      </c>
      <c r="D305" s="208" t="s">
        <v>554</v>
      </c>
      <c r="E305" s="208" t="s">
        <v>65</v>
      </c>
      <c r="F305" s="96">
        <v>44758</v>
      </c>
      <c r="G305" s="96">
        <v>44758</v>
      </c>
      <c r="H305" s="96">
        <v>44758</v>
      </c>
      <c r="I305" s="96">
        <v>44758</v>
      </c>
      <c r="J305" s="1"/>
    </row>
    <row r="306" spans="1:10" ht="26" outlineLevel="1" x14ac:dyDescent="0.3">
      <c r="A306" s="524"/>
      <c r="B306" s="524"/>
      <c r="C306" s="488"/>
      <c r="D306" s="208" t="s">
        <v>591</v>
      </c>
      <c r="E306" s="208" t="s">
        <v>65</v>
      </c>
      <c r="F306" s="96">
        <v>82218</v>
      </c>
      <c r="G306" s="96">
        <v>82218</v>
      </c>
      <c r="H306" s="96">
        <v>82218</v>
      </c>
      <c r="I306" s="96">
        <v>82218</v>
      </c>
      <c r="J306" s="1"/>
    </row>
    <row r="307" spans="1:10" outlineLevel="1" x14ac:dyDescent="0.3">
      <c r="A307" s="524"/>
      <c r="B307" s="524"/>
      <c r="C307" s="488"/>
      <c r="D307" s="208" t="s">
        <v>559</v>
      </c>
      <c r="E307" s="208" t="s">
        <v>65</v>
      </c>
      <c r="F307" s="96">
        <v>65310</v>
      </c>
      <c r="G307" s="96">
        <v>65310</v>
      </c>
      <c r="H307" s="96">
        <v>65310</v>
      </c>
      <c r="I307" s="96">
        <v>65310</v>
      </c>
      <c r="J307" s="1"/>
    </row>
    <row r="308" spans="1:10" ht="26" outlineLevel="1" x14ac:dyDescent="0.3">
      <c r="A308" s="524"/>
      <c r="B308" s="524"/>
      <c r="C308" s="488"/>
      <c r="D308" s="208" t="s">
        <v>562</v>
      </c>
      <c r="E308" s="208" t="s">
        <v>65</v>
      </c>
      <c r="F308" s="96">
        <v>8250</v>
      </c>
      <c r="G308" s="96">
        <v>8250</v>
      </c>
      <c r="H308" s="96">
        <v>8250</v>
      </c>
      <c r="I308" s="96">
        <v>8250</v>
      </c>
      <c r="J308" s="1"/>
    </row>
    <row r="309" spans="1:10" ht="39" outlineLevel="1" x14ac:dyDescent="0.3">
      <c r="A309" s="524"/>
      <c r="B309" s="524"/>
      <c r="C309" s="488"/>
      <c r="D309" s="208" t="s">
        <v>577</v>
      </c>
      <c r="E309" s="208" t="s">
        <v>65</v>
      </c>
      <c r="F309" s="96">
        <v>180000</v>
      </c>
      <c r="G309" s="96">
        <v>180000</v>
      </c>
      <c r="H309" s="96">
        <v>180000</v>
      </c>
      <c r="I309" s="96">
        <v>180000</v>
      </c>
      <c r="J309" s="1"/>
    </row>
    <row r="310" spans="1:10" outlineLevel="1" x14ac:dyDescent="0.3">
      <c r="A310" s="524"/>
      <c r="B310" s="524"/>
      <c r="C310" s="488"/>
      <c r="D310" s="208" t="s">
        <v>565</v>
      </c>
      <c r="E310" s="208" t="s">
        <v>65</v>
      </c>
      <c r="F310" s="96">
        <v>295264</v>
      </c>
      <c r="G310" s="96">
        <v>295264</v>
      </c>
      <c r="H310" s="96">
        <v>295264</v>
      </c>
      <c r="I310" s="96">
        <v>295264</v>
      </c>
      <c r="J310" s="1"/>
    </row>
    <row r="311" spans="1:10" ht="26" outlineLevel="1" x14ac:dyDescent="0.3">
      <c r="A311" s="524"/>
      <c r="B311" s="524"/>
      <c r="C311" s="488"/>
      <c r="D311" s="208" t="s">
        <v>568</v>
      </c>
      <c r="E311" s="208" t="s">
        <v>65</v>
      </c>
      <c r="F311" s="96">
        <v>61895</v>
      </c>
      <c r="G311" s="96">
        <v>61895</v>
      </c>
      <c r="H311" s="96">
        <v>61895</v>
      </c>
      <c r="I311" s="96">
        <v>61895</v>
      </c>
      <c r="J311" s="1"/>
    </row>
    <row r="312" spans="1:10" ht="26" outlineLevel="1" x14ac:dyDescent="0.3">
      <c r="A312" s="524"/>
      <c r="B312" s="524"/>
      <c r="C312" s="488"/>
      <c r="D312" s="208" t="s">
        <v>210</v>
      </c>
      <c r="E312" s="208" t="s">
        <v>65</v>
      </c>
      <c r="F312" s="96">
        <v>347209</v>
      </c>
      <c r="G312" s="96">
        <v>347209</v>
      </c>
      <c r="H312" s="96">
        <v>347209</v>
      </c>
      <c r="I312" s="96">
        <v>347209</v>
      </c>
      <c r="J312" s="1"/>
    </row>
    <row r="313" spans="1:10" ht="91" outlineLevel="1" x14ac:dyDescent="0.3">
      <c r="A313" s="7">
        <v>20</v>
      </c>
      <c r="B313" s="7" t="s">
        <v>36</v>
      </c>
      <c r="C313" s="211" t="s">
        <v>592</v>
      </c>
      <c r="D313" s="416" t="s">
        <v>593</v>
      </c>
      <c r="E313" s="283" t="s">
        <v>170</v>
      </c>
      <c r="F313" s="96">
        <v>900000</v>
      </c>
      <c r="G313" s="96">
        <v>900000</v>
      </c>
      <c r="H313" s="96">
        <v>900000</v>
      </c>
      <c r="I313" s="96">
        <v>900000</v>
      </c>
      <c r="J313" s="1"/>
    </row>
    <row r="314" spans="1:10" x14ac:dyDescent="0.3">
      <c r="A314" s="556" t="s">
        <v>594</v>
      </c>
      <c r="B314" s="556"/>
      <c r="C314" s="556"/>
      <c r="D314" s="556"/>
      <c r="E314" s="556"/>
      <c r="F314" s="39">
        <f>SUM(F315:F316)</f>
        <v>9549118</v>
      </c>
      <c r="G314" s="39">
        <f>SUM(G315:G316)</f>
        <v>9549118</v>
      </c>
      <c r="H314" s="39">
        <f>SUM(H315:H316)</f>
        <v>10549118</v>
      </c>
      <c r="I314" s="39">
        <f>SUM(I315:I316)</f>
        <v>10549118</v>
      </c>
      <c r="J314" s="1"/>
    </row>
    <row r="315" spans="1:10" ht="26" outlineLevel="1" x14ac:dyDescent="0.3">
      <c r="A315" s="7">
        <v>1</v>
      </c>
      <c r="B315" s="7" t="s">
        <v>595</v>
      </c>
      <c r="C315" s="417" t="s">
        <v>596</v>
      </c>
      <c r="D315" s="10" t="s">
        <v>597</v>
      </c>
      <c r="E315" s="5" t="s">
        <v>67</v>
      </c>
      <c r="F315" s="20">
        <f>351816+64</f>
        <v>351880</v>
      </c>
      <c r="G315" s="20">
        <f t="shared" ref="G315:I315" si="33">351816+64</f>
        <v>351880</v>
      </c>
      <c r="H315" s="20">
        <f t="shared" si="33"/>
        <v>351880</v>
      </c>
      <c r="I315" s="20">
        <f t="shared" si="33"/>
        <v>351880</v>
      </c>
      <c r="J315" s="1"/>
    </row>
    <row r="316" spans="1:10" ht="26" outlineLevel="1" x14ac:dyDescent="0.3">
      <c r="A316" s="7">
        <v>2</v>
      </c>
      <c r="B316" s="7" t="s">
        <v>595</v>
      </c>
      <c r="C316" s="5" t="s">
        <v>598</v>
      </c>
      <c r="D316" s="5" t="s">
        <v>599</v>
      </c>
      <c r="E316" s="5" t="s">
        <v>67</v>
      </c>
      <c r="F316" s="20">
        <f>6642417+648198+1906623</f>
        <v>9197238</v>
      </c>
      <c r="G316" s="20">
        <f>6642417+648198+1906623</f>
        <v>9197238</v>
      </c>
      <c r="H316" s="20">
        <f>8290615+1906623</f>
        <v>10197238</v>
      </c>
      <c r="I316" s="20">
        <f>8290615+1906623</f>
        <v>10197238</v>
      </c>
      <c r="J316" s="1"/>
    </row>
    <row r="317" spans="1:10" x14ac:dyDescent="0.3">
      <c r="A317" s="556" t="s">
        <v>1104</v>
      </c>
      <c r="B317" s="556"/>
      <c r="C317" s="556"/>
      <c r="D317" s="556"/>
      <c r="E317" s="556"/>
      <c r="F317" s="39">
        <f>F318</f>
        <v>77764</v>
      </c>
      <c r="G317" s="39">
        <f t="shared" ref="G317:I317" si="34">G318</f>
        <v>1972041</v>
      </c>
      <c r="H317" s="39">
        <f t="shared" si="34"/>
        <v>3210753</v>
      </c>
      <c r="I317" s="39">
        <f t="shared" si="34"/>
        <v>3351792</v>
      </c>
      <c r="J317" s="1"/>
    </row>
    <row r="318" spans="1:10" ht="52" outlineLevel="1" x14ac:dyDescent="0.3">
      <c r="A318" s="7">
        <v>1</v>
      </c>
      <c r="B318" s="7" t="s">
        <v>15</v>
      </c>
      <c r="C318" s="5" t="s">
        <v>1105</v>
      </c>
      <c r="D318" s="5" t="s">
        <v>1106</v>
      </c>
      <c r="E318" s="5" t="s">
        <v>68</v>
      </c>
      <c r="F318" s="20">
        <v>77764</v>
      </c>
      <c r="G318" s="20">
        <v>1972041</v>
      </c>
      <c r="H318" s="20">
        <v>3210753</v>
      </c>
      <c r="I318" s="20">
        <v>3351792</v>
      </c>
      <c r="J318" s="1"/>
    </row>
    <row r="319" spans="1:10" x14ac:dyDescent="0.3">
      <c r="A319" s="556" t="s">
        <v>1021</v>
      </c>
      <c r="B319" s="556"/>
      <c r="C319" s="556"/>
      <c r="D319" s="556"/>
      <c r="E319" s="556"/>
      <c r="F319" s="39">
        <f>F320</f>
        <v>161278</v>
      </c>
      <c r="G319" s="39"/>
      <c r="H319" s="39"/>
      <c r="I319" s="39"/>
      <c r="J319" s="1"/>
    </row>
    <row r="320" spans="1:10" ht="39" x14ac:dyDescent="0.3">
      <c r="A320" s="7">
        <v>1</v>
      </c>
      <c r="B320" s="7" t="s">
        <v>18</v>
      </c>
      <c r="C320" s="391" t="s">
        <v>1019</v>
      </c>
      <c r="D320" s="392" t="s">
        <v>1020</v>
      </c>
      <c r="E320" s="208" t="s">
        <v>66</v>
      </c>
      <c r="F320" s="393">
        <v>161278</v>
      </c>
      <c r="G320" s="20"/>
      <c r="H320" s="20"/>
      <c r="I320" s="20"/>
      <c r="J320" s="407" t="s">
        <v>1086</v>
      </c>
    </row>
    <row r="321" spans="1:10" x14ac:dyDescent="0.3">
      <c r="A321" s="556" t="s">
        <v>1022</v>
      </c>
      <c r="B321" s="556"/>
      <c r="C321" s="556"/>
      <c r="D321" s="556"/>
      <c r="E321" s="556"/>
      <c r="F321" s="39">
        <f>F322</f>
        <v>204893</v>
      </c>
      <c r="G321" s="39">
        <f t="shared" ref="G321:I321" si="35">G322</f>
        <v>204893</v>
      </c>
      <c r="H321" s="39">
        <f t="shared" si="35"/>
        <v>204893</v>
      </c>
      <c r="I321" s="39">
        <f t="shared" si="35"/>
        <v>204893</v>
      </c>
      <c r="J321" s="1"/>
    </row>
    <row r="322" spans="1:10" ht="42" x14ac:dyDescent="0.3">
      <c r="A322" s="7">
        <v>1</v>
      </c>
      <c r="B322" s="7" t="s">
        <v>38</v>
      </c>
      <c r="C322" s="391" t="s">
        <v>1023</v>
      </c>
      <c r="D322" s="391" t="s">
        <v>1024</v>
      </c>
      <c r="E322" s="395" t="s">
        <v>65</v>
      </c>
      <c r="F322" s="393">
        <v>204893</v>
      </c>
      <c r="G322" s="393">
        <v>204893</v>
      </c>
      <c r="H322" s="393">
        <v>204893</v>
      </c>
      <c r="I322" s="393">
        <v>204893</v>
      </c>
      <c r="J322" s="1"/>
    </row>
    <row r="323" spans="1:10" x14ac:dyDescent="0.3">
      <c r="A323" s="556" t="s">
        <v>1025</v>
      </c>
      <c r="B323" s="556"/>
      <c r="C323" s="556"/>
      <c r="D323" s="556"/>
      <c r="E323" s="556"/>
      <c r="F323" s="39">
        <f>F324</f>
        <v>30000</v>
      </c>
      <c r="G323" s="39">
        <f t="shared" ref="G323:I323" si="36">G324</f>
        <v>30000</v>
      </c>
      <c r="H323" s="39">
        <f t="shared" si="36"/>
        <v>30000</v>
      </c>
      <c r="I323" s="39">
        <f t="shared" si="36"/>
        <v>30000</v>
      </c>
      <c r="J323" s="1"/>
    </row>
    <row r="324" spans="1:10" ht="52" x14ac:dyDescent="0.3">
      <c r="A324" s="7">
        <v>1</v>
      </c>
      <c r="B324" s="21" t="s">
        <v>1026</v>
      </c>
      <c r="C324" s="392" t="s">
        <v>1027</v>
      </c>
      <c r="D324" s="396" t="s">
        <v>1028</v>
      </c>
      <c r="E324" s="394" t="s">
        <v>1029</v>
      </c>
      <c r="F324" s="397">
        <v>30000</v>
      </c>
      <c r="G324" s="397">
        <v>30000</v>
      </c>
      <c r="H324" s="397">
        <v>30000</v>
      </c>
      <c r="I324" s="397">
        <v>30000</v>
      </c>
      <c r="J324" s="1"/>
    </row>
    <row r="325" spans="1:10" x14ac:dyDescent="0.3">
      <c r="A325" s="556" t="s">
        <v>1032</v>
      </c>
      <c r="B325" s="556"/>
      <c r="C325" s="556"/>
      <c r="D325" s="556"/>
      <c r="E325" s="556"/>
      <c r="F325" s="39">
        <f>F326</f>
        <v>116607</v>
      </c>
      <c r="G325" s="39">
        <f t="shared" ref="G325:I325" si="37">G326</f>
        <v>116607</v>
      </c>
      <c r="H325" s="39">
        <f t="shared" si="37"/>
        <v>116607</v>
      </c>
      <c r="I325" s="39">
        <f t="shared" si="37"/>
        <v>116607</v>
      </c>
      <c r="J325" s="1"/>
    </row>
    <row r="326" spans="1:10" ht="65" x14ac:dyDescent="0.3">
      <c r="A326" s="7">
        <v>1</v>
      </c>
      <c r="B326" s="21" t="s">
        <v>796</v>
      </c>
      <c r="C326" s="394" t="s">
        <v>1030</v>
      </c>
      <c r="D326" s="394" t="s">
        <v>1031</v>
      </c>
      <c r="E326" s="395" t="s">
        <v>65</v>
      </c>
      <c r="F326" s="397">
        <v>116607</v>
      </c>
      <c r="G326" s="397">
        <v>116607</v>
      </c>
      <c r="H326" s="397">
        <v>116607</v>
      </c>
      <c r="I326" s="397">
        <v>116607</v>
      </c>
      <c r="J326" s="407" t="s">
        <v>1087</v>
      </c>
    </row>
    <row r="327" spans="1:10" x14ac:dyDescent="0.3">
      <c r="A327" s="557" t="s">
        <v>1033</v>
      </c>
      <c r="B327" s="557"/>
      <c r="C327" s="557"/>
      <c r="D327" s="557"/>
      <c r="E327" s="557"/>
      <c r="F327" s="398">
        <f>F328+F329</f>
        <v>150000</v>
      </c>
      <c r="G327" s="398">
        <f t="shared" ref="G327:I327" si="38">G328+G329</f>
        <v>150000</v>
      </c>
      <c r="H327" s="398">
        <f t="shared" si="38"/>
        <v>500000</v>
      </c>
      <c r="I327" s="398">
        <f t="shared" si="38"/>
        <v>500000</v>
      </c>
      <c r="J327" s="1"/>
    </row>
    <row r="328" spans="1:10" ht="56" x14ac:dyDescent="0.3">
      <c r="A328" s="399">
        <v>1</v>
      </c>
      <c r="B328" s="266" t="s">
        <v>1034</v>
      </c>
      <c r="C328" s="400" t="s">
        <v>1035</v>
      </c>
      <c r="D328" s="401" t="s">
        <v>1036</v>
      </c>
      <c r="E328" s="402" t="s">
        <v>1037</v>
      </c>
      <c r="F328" s="397">
        <f>475800-350000</f>
        <v>125800</v>
      </c>
      <c r="G328" s="397">
        <f>475800-350000</f>
        <v>125800</v>
      </c>
      <c r="H328" s="397">
        <v>475800</v>
      </c>
      <c r="I328" s="397">
        <v>475800</v>
      </c>
      <c r="J328" s="407" t="s">
        <v>1088</v>
      </c>
    </row>
    <row r="329" spans="1:10" ht="65" x14ac:dyDescent="0.3">
      <c r="A329" s="399">
        <v>2</v>
      </c>
      <c r="B329" s="266" t="s">
        <v>1034</v>
      </c>
      <c r="C329" s="401" t="s">
        <v>1038</v>
      </c>
      <c r="D329" s="401" t="s">
        <v>1039</v>
      </c>
      <c r="E329" s="402" t="s">
        <v>1040</v>
      </c>
      <c r="F329" s="397">
        <v>24200</v>
      </c>
      <c r="G329" s="397">
        <v>24200</v>
      </c>
      <c r="H329" s="397">
        <v>24200</v>
      </c>
      <c r="I329" s="397">
        <v>24200</v>
      </c>
      <c r="J329" s="407" t="s">
        <v>1089</v>
      </c>
    </row>
    <row r="330" spans="1:10" x14ac:dyDescent="0.3">
      <c r="A330" s="556" t="s">
        <v>1043</v>
      </c>
      <c r="B330" s="556"/>
      <c r="C330" s="556"/>
      <c r="D330" s="556"/>
      <c r="E330" s="556"/>
      <c r="F330" s="39">
        <f>F331</f>
        <v>20000</v>
      </c>
      <c r="G330" s="39"/>
      <c r="H330" s="39"/>
      <c r="I330" s="39"/>
      <c r="J330" s="1"/>
    </row>
    <row r="331" spans="1:10" ht="28" x14ac:dyDescent="0.3">
      <c r="A331" s="7">
        <v>1</v>
      </c>
      <c r="B331" s="7" t="s">
        <v>35</v>
      </c>
      <c r="C331" s="394" t="s">
        <v>1041</v>
      </c>
      <c r="D331" s="392" t="s">
        <v>1042</v>
      </c>
      <c r="E331" s="394" t="s">
        <v>66</v>
      </c>
      <c r="F331" s="397">
        <v>20000</v>
      </c>
      <c r="G331" s="20"/>
      <c r="H331" s="20"/>
      <c r="I331" s="20"/>
      <c r="J331" s="1"/>
    </row>
    <row r="332" spans="1:10" x14ac:dyDescent="0.3">
      <c r="A332" s="556" t="s">
        <v>1054</v>
      </c>
      <c r="B332" s="556"/>
      <c r="C332" s="556"/>
      <c r="D332" s="556"/>
      <c r="E332" s="556"/>
      <c r="F332" s="39">
        <f>F333+F334+F335+F336+F337</f>
        <v>25000</v>
      </c>
      <c r="G332" s="39">
        <f t="shared" ref="G332:I332" si="39">G333+G334+G335+G336+G337</f>
        <v>25000</v>
      </c>
      <c r="H332" s="39">
        <f t="shared" si="39"/>
        <v>25000</v>
      </c>
      <c r="I332" s="39">
        <f t="shared" si="39"/>
        <v>25000</v>
      </c>
      <c r="J332" s="1"/>
    </row>
    <row r="333" spans="1:10" ht="28" x14ac:dyDescent="0.3">
      <c r="A333" s="7">
        <v>1</v>
      </c>
      <c r="B333" s="7" t="s">
        <v>37</v>
      </c>
      <c r="C333" s="392" t="s">
        <v>1044</v>
      </c>
      <c r="D333" s="392" t="s">
        <v>1042</v>
      </c>
      <c r="E333" s="394" t="s">
        <v>1045</v>
      </c>
      <c r="F333" s="397">
        <v>5000</v>
      </c>
      <c r="G333" s="397">
        <v>5000</v>
      </c>
      <c r="H333" s="397">
        <v>5000</v>
      </c>
      <c r="I333" s="397">
        <v>5000</v>
      </c>
      <c r="J333" s="1"/>
    </row>
    <row r="334" spans="1:10" ht="42" x14ac:dyDescent="0.3">
      <c r="A334" s="7">
        <v>2</v>
      </c>
      <c r="B334" s="7" t="s">
        <v>37</v>
      </c>
      <c r="C334" s="392" t="s">
        <v>1046</v>
      </c>
      <c r="D334" s="392" t="s">
        <v>1042</v>
      </c>
      <c r="E334" s="394" t="s">
        <v>1047</v>
      </c>
      <c r="F334" s="397">
        <v>7000</v>
      </c>
      <c r="G334" s="397">
        <v>7000</v>
      </c>
      <c r="H334" s="397">
        <v>7000</v>
      </c>
      <c r="I334" s="397">
        <v>7000</v>
      </c>
      <c r="J334" s="1"/>
    </row>
    <row r="335" spans="1:10" ht="42" x14ac:dyDescent="0.3">
      <c r="A335" s="7">
        <v>3</v>
      </c>
      <c r="B335" s="7" t="s">
        <v>37</v>
      </c>
      <c r="C335" s="392" t="s">
        <v>1048</v>
      </c>
      <c r="D335" s="392" t="s">
        <v>1042</v>
      </c>
      <c r="E335" s="394" t="s">
        <v>1049</v>
      </c>
      <c r="F335" s="397">
        <v>6000</v>
      </c>
      <c r="G335" s="397">
        <v>6000</v>
      </c>
      <c r="H335" s="397">
        <v>6000</v>
      </c>
      <c r="I335" s="397">
        <v>6000</v>
      </c>
      <c r="J335" s="1"/>
    </row>
    <row r="336" spans="1:10" ht="42" x14ac:dyDescent="0.3">
      <c r="A336" s="7">
        <v>4</v>
      </c>
      <c r="B336" s="7" t="s">
        <v>37</v>
      </c>
      <c r="C336" s="392" t="s">
        <v>1050</v>
      </c>
      <c r="D336" s="392" t="s">
        <v>1042</v>
      </c>
      <c r="E336" s="394" t="s">
        <v>1051</v>
      </c>
      <c r="F336" s="397">
        <v>5000</v>
      </c>
      <c r="G336" s="397">
        <v>5000</v>
      </c>
      <c r="H336" s="397">
        <v>5000</v>
      </c>
      <c r="I336" s="397">
        <v>5000</v>
      </c>
      <c r="J336" s="1"/>
    </row>
    <row r="337" spans="1:10" ht="56" x14ac:dyDescent="0.3">
      <c r="A337" s="7">
        <v>5</v>
      </c>
      <c r="B337" s="7" t="s">
        <v>37</v>
      </c>
      <c r="C337" s="392" t="s">
        <v>1052</v>
      </c>
      <c r="D337" s="392" t="s">
        <v>1042</v>
      </c>
      <c r="E337" s="394" t="s">
        <v>1053</v>
      </c>
      <c r="F337" s="397">
        <v>2000</v>
      </c>
      <c r="G337" s="397">
        <v>2000</v>
      </c>
      <c r="H337" s="397">
        <v>2000</v>
      </c>
      <c r="I337" s="397">
        <v>2000</v>
      </c>
      <c r="J337" s="1"/>
    </row>
    <row r="338" spans="1:10" x14ac:dyDescent="0.3">
      <c r="A338" s="556" t="s">
        <v>1058</v>
      </c>
      <c r="B338" s="556"/>
      <c r="C338" s="556"/>
      <c r="D338" s="556"/>
      <c r="E338" s="556"/>
      <c r="F338" s="39">
        <f>F339</f>
        <v>2100</v>
      </c>
      <c r="G338" s="39">
        <f t="shared" ref="G338:I338" si="40">G339</f>
        <v>2100</v>
      </c>
      <c r="H338" s="39">
        <f t="shared" si="40"/>
        <v>2100</v>
      </c>
      <c r="I338" s="39">
        <f t="shared" si="40"/>
        <v>2100</v>
      </c>
      <c r="J338" s="1"/>
    </row>
    <row r="339" spans="1:10" ht="28" x14ac:dyDescent="0.3">
      <c r="A339" s="7">
        <v>1</v>
      </c>
      <c r="B339" s="21" t="s">
        <v>1057</v>
      </c>
      <c r="C339" s="396" t="s">
        <v>1055</v>
      </c>
      <c r="D339" s="392" t="s">
        <v>1056</v>
      </c>
      <c r="E339" s="394" t="s">
        <v>164</v>
      </c>
      <c r="F339" s="397">
        <v>2100</v>
      </c>
      <c r="G339" s="397">
        <v>2100</v>
      </c>
      <c r="H339" s="397">
        <v>2100</v>
      </c>
      <c r="I339" s="397">
        <v>2100</v>
      </c>
      <c r="J339" s="1"/>
    </row>
    <row r="340" spans="1:10" x14ac:dyDescent="0.3">
      <c r="A340" s="556" t="s">
        <v>1063</v>
      </c>
      <c r="B340" s="556"/>
      <c r="C340" s="556"/>
      <c r="D340" s="556"/>
      <c r="E340" s="556"/>
      <c r="F340" s="39">
        <f>SUM(F341:F342)</f>
        <v>15000</v>
      </c>
      <c r="G340" s="39"/>
      <c r="H340" s="39"/>
      <c r="I340" s="39"/>
      <c r="J340" s="1"/>
    </row>
    <row r="341" spans="1:10" ht="56" x14ac:dyDescent="0.3">
      <c r="A341" s="7">
        <v>1</v>
      </c>
      <c r="B341" s="21" t="s">
        <v>852</v>
      </c>
      <c r="C341" s="394" t="s">
        <v>1059</v>
      </c>
      <c r="D341" s="394" t="s">
        <v>1068</v>
      </c>
      <c r="E341" s="394" t="s">
        <v>1061</v>
      </c>
      <c r="F341" s="397">
        <v>5000</v>
      </c>
      <c r="G341" s="397"/>
      <c r="H341" s="397"/>
      <c r="I341" s="397"/>
      <c r="J341" s="1"/>
    </row>
    <row r="342" spans="1:10" ht="28" x14ac:dyDescent="0.3">
      <c r="A342" s="7">
        <v>2</v>
      </c>
      <c r="B342" s="21" t="s">
        <v>852</v>
      </c>
      <c r="C342" s="392" t="s">
        <v>1060</v>
      </c>
      <c r="D342" s="394" t="s">
        <v>1068</v>
      </c>
      <c r="E342" s="394" t="s">
        <v>1062</v>
      </c>
      <c r="F342" s="397">
        <v>10000</v>
      </c>
      <c r="G342" s="397"/>
      <c r="H342" s="397"/>
      <c r="I342" s="397"/>
      <c r="J342" s="1"/>
    </row>
    <row r="343" spans="1:10" x14ac:dyDescent="0.3">
      <c r="F343" s="101"/>
      <c r="G343" s="101"/>
      <c r="H343" s="101"/>
      <c r="I343" s="101"/>
    </row>
    <row r="344" spans="1:10" x14ac:dyDescent="0.3">
      <c r="F344" s="101"/>
      <c r="G344" s="101"/>
      <c r="H344" s="101"/>
      <c r="I344" s="101"/>
    </row>
    <row r="345" spans="1:10" customFormat="1" ht="14.5" x14ac:dyDescent="0.35">
      <c r="A345" s="23"/>
      <c r="B345" s="23"/>
      <c r="C345" s="23"/>
      <c r="D345" s="23"/>
      <c r="E345" s="23"/>
      <c r="F345" s="23"/>
      <c r="G345" s="23"/>
    </row>
    <row r="346" spans="1:10" customFormat="1" ht="15.5" x14ac:dyDescent="0.35">
      <c r="A346" s="411" t="s">
        <v>1109</v>
      </c>
      <c r="B346" s="23"/>
      <c r="C346" s="23"/>
      <c r="D346" s="23"/>
      <c r="E346" s="23"/>
      <c r="F346" s="23"/>
      <c r="G346" s="100"/>
      <c r="J346" s="412" t="s">
        <v>1110</v>
      </c>
    </row>
    <row r="347" spans="1:10" customFormat="1" ht="14.5" x14ac:dyDescent="0.35">
      <c r="A347" s="413"/>
      <c r="B347" s="23"/>
      <c r="C347" s="23"/>
      <c r="D347" s="23"/>
      <c r="E347" s="23"/>
      <c r="F347" s="23"/>
      <c r="G347" s="23"/>
    </row>
    <row r="348" spans="1:10" customFormat="1" ht="14.5" x14ac:dyDescent="0.35">
      <c r="A348" s="413"/>
      <c r="B348" s="23"/>
      <c r="C348" s="23"/>
      <c r="D348" s="23"/>
      <c r="E348" s="23"/>
      <c r="F348" s="23"/>
      <c r="G348" s="23"/>
    </row>
    <row r="349" spans="1:10" customFormat="1" ht="14.5" x14ac:dyDescent="0.35">
      <c r="A349" s="414" t="s">
        <v>1111</v>
      </c>
      <c r="B349" s="23"/>
      <c r="C349" s="23"/>
      <c r="D349" s="23"/>
      <c r="E349" s="23"/>
      <c r="F349" s="23"/>
      <c r="G349" s="23"/>
    </row>
    <row r="350" spans="1:10" customFormat="1" ht="14.5" x14ac:dyDescent="0.35">
      <c r="A350" s="415" t="s">
        <v>1112</v>
      </c>
      <c r="B350" s="23"/>
      <c r="C350" s="23"/>
      <c r="D350" s="23"/>
      <c r="E350" s="23"/>
      <c r="F350" s="23"/>
      <c r="G350" s="23"/>
    </row>
    <row r="351" spans="1:10" customFormat="1" ht="14.5" x14ac:dyDescent="0.35">
      <c r="A351" s="23"/>
      <c r="B351" s="23"/>
      <c r="C351" s="23"/>
      <c r="D351" s="23"/>
      <c r="E351" s="23"/>
      <c r="F351" s="23"/>
      <c r="G351" s="23"/>
    </row>
    <row r="352" spans="1:10" x14ac:dyDescent="0.3">
      <c r="F352" s="101"/>
      <c r="G352" s="101"/>
      <c r="H352" s="101"/>
      <c r="I352" s="101"/>
    </row>
    <row r="353" spans="6:9" x14ac:dyDescent="0.3">
      <c r="F353" s="101"/>
      <c r="G353" s="101"/>
      <c r="H353" s="101"/>
      <c r="I353" s="101"/>
    </row>
    <row r="354" spans="6:9" x14ac:dyDescent="0.3">
      <c r="F354" s="101"/>
      <c r="G354" s="101"/>
      <c r="H354" s="101"/>
      <c r="I354" s="101"/>
    </row>
    <row r="355" spans="6:9" x14ac:dyDescent="0.3">
      <c r="F355" s="101"/>
      <c r="G355" s="101"/>
      <c r="H355" s="101"/>
      <c r="I355" s="101"/>
    </row>
    <row r="356" spans="6:9" x14ac:dyDescent="0.3">
      <c r="F356" s="101"/>
      <c r="G356" s="101"/>
      <c r="H356" s="101"/>
      <c r="I356" s="101"/>
    </row>
    <row r="357" spans="6:9" x14ac:dyDescent="0.3">
      <c r="F357" s="101"/>
      <c r="G357" s="101"/>
      <c r="H357" s="101"/>
      <c r="I357" s="101"/>
    </row>
    <row r="358" spans="6:9" x14ac:dyDescent="0.3">
      <c r="F358" s="101"/>
      <c r="G358" s="101"/>
      <c r="H358" s="101"/>
      <c r="I358" s="101"/>
    </row>
    <row r="359" spans="6:9" x14ac:dyDescent="0.3">
      <c r="F359" s="101"/>
      <c r="G359" s="101"/>
      <c r="H359" s="101"/>
      <c r="I359" s="101"/>
    </row>
    <row r="360" spans="6:9" x14ac:dyDescent="0.3">
      <c r="F360" s="101"/>
      <c r="G360" s="101"/>
      <c r="H360" s="101"/>
      <c r="I360" s="101"/>
    </row>
    <row r="361" spans="6:9" x14ac:dyDescent="0.3">
      <c r="F361" s="101"/>
      <c r="G361" s="101"/>
      <c r="H361" s="101"/>
      <c r="I361" s="101"/>
    </row>
    <row r="362" spans="6:9" x14ac:dyDescent="0.3">
      <c r="F362" s="101"/>
      <c r="G362" s="101"/>
      <c r="H362" s="101"/>
      <c r="I362" s="101"/>
    </row>
    <row r="363" spans="6:9" x14ac:dyDescent="0.3">
      <c r="F363" s="101"/>
      <c r="G363" s="101"/>
      <c r="H363" s="101"/>
      <c r="I363" s="101"/>
    </row>
    <row r="364" spans="6:9" x14ac:dyDescent="0.3">
      <c r="F364" s="101"/>
      <c r="G364" s="101"/>
      <c r="H364" s="101"/>
      <c r="I364" s="101"/>
    </row>
    <row r="365" spans="6:9" x14ac:dyDescent="0.3">
      <c r="F365" s="101"/>
      <c r="G365" s="101"/>
      <c r="H365" s="101"/>
      <c r="I365" s="101"/>
    </row>
    <row r="366" spans="6:9" x14ac:dyDescent="0.3">
      <c r="F366" s="101"/>
      <c r="G366" s="101"/>
      <c r="H366" s="101"/>
      <c r="I366" s="101"/>
    </row>
    <row r="367" spans="6:9" x14ac:dyDescent="0.3">
      <c r="F367" s="101"/>
      <c r="G367" s="101"/>
      <c r="H367" s="101"/>
      <c r="I367" s="101"/>
    </row>
    <row r="368" spans="6:9" x14ac:dyDescent="0.3">
      <c r="F368" s="101"/>
      <c r="G368" s="101"/>
      <c r="H368" s="101"/>
      <c r="I368" s="101"/>
    </row>
    <row r="369" spans="6:9" x14ac:dyDescent="0.3">
      <c r="F369" s="101"/>
      <c r="G369" s="101"/>
      <c r="H369" s="101"/>
      <c r="I369" s="101"/>
    </row>
    <row r="370" spans="6:9" x14ac:dyDescent="0.3">
      <c r="F370" s="101"/>
      <c r="G370" s="101"/>
      <c r="H370" s="101"/>
      <c r="I370" s="101"/>
    </row>
    <row r="371" spans="6:9" x14ac:dyDescent="0.3">
      <c r="F371" s="101"/>
      <c r="G371" s="101"/>
      <c r="H371" s="101"/>
      <c r="I371" s="101"/>
    </row>
    <row r="372" spans="6:9" x14ac:dyDescent="0.3">
      <c r="F372" s="101"/>
      <c r="G372" s="101"/>
      <c r="H372" s="101"/>
      <c r="I372" s="101"/>
    </row>
    <row r="373" spans="6:9" x14ac:dyDescent="0.3">
      <c r="F373" s="101"/>
      <c r="G373" s="101"/>
      <c r="H373" s="101"/>
      <c r="I373" s="101"/>
    </row>
    <row r="374" spans="6:9" x14ac:dyDescent="0.3">
      <c r="F374" s="101"/>
      <c r="G374" s="101"/>
      <c r="H374" s="101"/>
      <c r="I374" s="101"/>
    </row>
    <row r="375" spans="6:9" x14ac:dyDescent="0.3">
      <c r="F375" s="101"/>
      <c r="G375" s="101"/>
      <c r="H375" s="101"/>
      <c r="I375" s="101"/>
    </row>
    <row r="376" spans="6:9" x14ac:dyDescent="0.3">
      <c r="F376" s="101"/>
      <c r="G376" s="101"/>
      <c r="H376" s="101"/>
      <c r="I376" s="101"/>
    </row>
    <row r="377" spans="6:9" x14ac:dyDescent="0.3">
      <c r="F377" s="101"/>
      <c r="G377" s="101"/>
      <c r="H377" s="101"/>
      <c r="I377" s="101"/>
    </row>
    <row r="378" spans="6:9" x14ac:dyDescent="0.3">
      <c r="F378" s="101"/>
      <c r="G378" s="101"/>
      <c r="H378" s="101"/>
      <c r="I378" s="101"/>
    </row>
    <row r="379" spans="6:9" x14ac:dyDescent="0.3">
      <c r="F379" s="101"/>
      <c r="G379" s="101"/>
      <c r="H379" s="101"/>
      <c r="I379" s="101"/>
    </row>
    <row r="380" spans="6:9" x14ac:dyDescent="0.3">
      <c r="F380" s="101"/>
      <c r="G380" s="101"/>
      <c r="H380" s="101"/>
      <c r="I380" s="101"/>
    </row>
    <row r="381" spans="6:9" x14ac:dyDescent="0.3">
      <c r="F381" s="101"/>
      <c r="G381" s="101"/>
      <c r="H381" s="101"/>
      <c r="I381" s="101"/>
    </row>
    <row r="382" spans="6:9" x14ac:dyDescent="0.3">
      <c r="F382" s="101"/>
      <c r="G382" s="101"/>
      <c r="H382" s="101"/>
      <c r="I382" s="101"/>
    </row>
    <row r="383" spans="6:9" x14ac:dyDescent="0.3">
      <c r="F383" s="101"/>
      <c r="G383" s="101"/>
      <c r="H383" s="101"/>
      <c r="I383" s="101"/>
    </row>
    <row r="384" spans="6:9" x14ac:dyDescent="0.3">
      <c r="F384" s="101"/>
      <c r="G384" s="101"/>
      <c r="H384" s="101"/>
      <c r="I384" s="101"/>
    </row>
    <row r="385" spans="6:9" x14ac:dyDescent="0.3">
      <c r="F385" s="101"/>
      <c r="G385" s="101"/>
      <c r="H385" s="101"/>
      <c r="I385" s="101"/>
    </row>
    <row r="386" spans="6:9" x14ac:dyDescent="0.3">
      <c r="F386" s="101"/>
      <c r="G386" s="101"/>
      <c r="H386" s="101"/>
      <c r="I386" s="101"/>
    </row>
    <row r="387" spans="6:9" x14ac:dyDescent="0.3">
      <c r="F387" s="101"/>
      <c r="G387" s="101"/>
      <c r="H387" s="101"/>
      <c r="I387" s="101"/>
    </row>
    <row r="388" spans="6:9" x14ac:dyDescent="0.3">
      <c r="F388" s="101"/>
      <c r="G388" s="101"/>
      <c r="H388" s="101"/>
      <c r="I388" s="101"/>
    </row>
    <row r="389" spans="6:9" x14ac:dyDescent="0.3">
      <c r="F389" s="101"/>
      <c r="G389" s="101"/>
      <c r="H389" s="101"/>
      <c r="I389" s="101"/>
    </row>
    <row r="390" spans="6:9" x14ac:dyDescent="0.3">
      <c r="F390" s="101"/>
      <c r="G390" s="101"/>
      <c r="H390" s="101"/>
      <c r="I390" s="101"/>
    </row>
    <row r="391" spans="6:9" x14ac:dyDescent="0.3">
      <c r="F391" s="101"/>
      <c r="G391" s="101"/>
      <c r="H391" s="101"/>
      <c r="I391" s="101"/>
    </row>
    <row r="392" spans="6:9" x14ac:dyDescent="0.3">
      <c r="F392" s="101"/>
      <c r="G392" s="101"/>
      <c r="H392" s="101"/>
      <c r="I392" s="101"/>
    </row>
    <row r="393" spans="6:9" x14ac:dyDescent="0.3">
      <c r="F393" s="101"/>
      <c r="G393" s="101"/>
      <c r="H393" s="101"/>
      <c r="I393" s="101"/>
    </row>
    <row r="394" spans="6:9" x14ac:dyDescent="0.3">
      <c r="F394" s="101"/>
      <c r="G394" s="101"/>
      <c r="H394" s="101"/>
      <c r="I394" s="101"/>
    </row>
    <row r="395" spans="6:9" x14ac:dyDescent="0.3">
      <c r="F395" s="101"/>
      <c r="G395" s="101"/>
      <c r="H395" s="101"/>
      <c r="I395" s="101"/>
    </row>
    <row r="396" spans="6:9" x14ac:dyDescent="0.3">
      <c r="F396" s="101"/>
      <c r="G396" s="101"/>
      <c r="H396" s="101"/>
      <c r="I396" s="101"/>
    </row>
    <row r="397" spans="6:9" x14ac:dyDescent="0.3">
      <c r="F397" s="101"/>
      <c r="G397" s="101"/>
      <c r="H397" s="101"/>
      <c r="I397" s="101"/>
    </row>
    <row r="398" spans="6:9" x14ac:dyDescent="0.3">
      <c r="F398" s="101"/>
      <c r="G398" s="101"/>
      <c r="H398" s="101"/>
      <c r="I398" s="101"/>
    </row>
    <row r="399" spans="6:9" x14ac:dyDescent="0.3">
      <c r="F399" s="101"/>
      <c r="G399" s="101"/>
      <c r="H399" s="101"/>
      <c r="I399" s="101"/>
    </row>
    <row r="400" spans="6:9" x14ac:dyDescent="0.3">
      <c r="F400" s="101"/>
      <c r="G400" s="101"/>
      <c r="H400" s="101"/>
      <c r="I400" s="101"/>
    </row>
    <row r="401" spans="6:9" x14ac:dyDescent="0.3">
      <c r="F401" s="101"/>
      <c r="G401" s="101"/>
      <c r="H401" s="101"/>
      <c r="I401" s="101"/>
    </row>
    <row r="402" spans="6:9" x14ac:dyDescent="0.3">
      <c r="F402" s="101"/>
      <c r="G402" s="101"/>
      <c r="H402" s="101"/>
      <c r="I402" s="101"/>
    </row>
    <row r="403" spans="6:9" x14ac:dyDescent="0.3">
      <c r="F403" s="101"/>
      <c r="G403" s="101"/>
      <c r="H403" s="101"/>
      <c r="I403" s="101"/>
    </row>
    <row r="404" spans="6:9" x14ac:dyDescent="0.3">
      <c r="F404" s="101"/>
      <c r="G404" s="101"/>
      <c r="H404" s="101"/>
      <c r="I404" s="101"/>
    </row>
    <row r="405" spans="6:9" x14ac:dyDescent="0.3">
      <c r="F405" s="101"/>
      <c r="G405" s="101"/>
      <c r="H405" s="101"/>
      <c r="I405" s="101"/>
    </row>
    <row r="406" spans="6:9" x14ac:dyDescent="0.3">
      <c r="F406" s="101"/>
      <c r="G406" s="101"/>
      <c r="H406" s="101"/>
      <c r="I406" s="101"/>
    </row>
    <row r="407" spans="6:9" x14ac:dyDescent="0.3">
      <c r="F407" s="101"/>
      <c r="G407" s="101"/>
      <c r="H407" s="101"/>
      <c r="I407" s="101"/>
    </row>
    <row r="408" spans="6:9" x14ac:dyDescent="0.3">
      <c r="F408" s="101"/>
      <c r="G408" s="101"/>
      <c r="H408" s="101"/>
      <c r="I408" s="101"/>
    </row>
    <row r="409" spans="6:9" x14ac:dyDescent="0.3">
      <c r="F409" s="101"/>
      <c r="G409" s="101"/>
      <c r="H409" s="101"/>
      <c r="I409" s="101"/>
    </row>
    <row r="410" spans="6:9" x14ac:dyDescent="0.3">
      <c r="F410" s="101"/>
      <c r="G410" s="101"/>
      <c r="H410" s="101"/>
      <c r="I410" s="101"/>
    </row>
    <row r="411" spans="6:9" x14ac:dyDescent="0.3">
      <c r="F411" s="101"/>
      <c r="G411" s="101"/>
      <c r="H411" s="101"/>
      <c r="I411" s="101"/>
    </row>
    <row r="412" spans="6:9" x14ac:dyDescent="0.3">
      <c r="F412" s="101"/>
      <c r="G412" s="101"/>
      <c r="H412" s="101"/>
      <c r="I412" s="101"/>
    </row>
    <row r="413" spans="6:9" x14ac:dyDescent="0.3">
      <c r="F413" s="101"/>
      <c r="G413" s="101"/>
      <c r="H413" s="101"/>
      <c r="I413" s="101"/>
    </row>
    <row r="414" spans="6:9" x14ac:dyDescent="0.3">
      <c r="F414" s="101"/>
      <c r="G414" s="101"/>
      <c r="H414" s="101"/>
      <c r="I414" s="101"/>
    </row>
    <row r="415" spans="6:9" x14ac:dyDescent="0.3">
      <c r="F415" s="101"/>
      <c r="G415" s="101"/>
      <c r="H415" s="101"/>
      <c r="I415" s="101"/>
    </row>
    <row r="416" spans="6:9" x14ac:dyDescent="0.3">
      <c r="F416" s="101"/>
      <c r="G416" s="101"/>
      <c r="H416" s="101"/>
      <c r="I416" s="101"/>
    </row>
    <row r="417" spans="6:9" x14ac:dyDescent="0.3">
      <c r="F417" s="101"/>
      <c r="G417" s="101"/>
      <c r="H417" s="101"/>
      <c r="I417" s="101"/>
    </row>
    <row r="418" spans="6:9" x14ac:dyDescent="0.3">
      <c r="F418" s="101"/>
      <c r="G418" s="101"/>
      <c r="H418" s="101"/>
      <c r="I418" s="101"/>
    </row>
    <row r="419" spans="6:9" x14ac:dyDescent="0.3">
      <c r="F419" s="101"/>
      <c r="G419" s="101"/>
      <c r="H419" s="101"/>
      <c r="I419" s="101"/>
    </row>
    <row r="420" spans="6:9" x14ac:dyDescent="0.3">
      <c r="F420" s="101"/>
      <c r="G420" s="101"/>
      <c r="H420" s="101"/>
      <c r="I420" s="101"/>
    </row>
    <row r="421" spans="6:9" x14ac:dyDescent="0.3">
      <c r="F421" s="101"/>
      <c r="G421" s="101"/>
      <c r="H421" s="101"/>
      <c r="I421" s="101"/>
    </row>
    <row r="422" spans="6:9" x14ac:dyDescent="0.3">
      <c r="F422" s="101"/>
      <c r="G422" s="101"/>
      <c r="H422" s="101"/>
      <c r="I422" s="101"/>
    </row>
    <row r="423" spans="6:9" x14ac:dyDescent="0.3">
      <c r="F423" s="101"/>
      <c r="G423" s="101"/>
      <c r="H423" s="101"/>
      <c r="I423" s="101"/>
    </row>
    <row r="424" spans="6:9" x14ac:dyDescent="0.3">
      <c r="F424" s="101"/>
      <c r="G424" s="101"/>
      <c r="H424" s="101"/>
      <c r="I424" s="101"/>
    </row>
    <row r="425" spans="6:9" x14ac:dyDescent="0.3">
      <c r="F425" s="101"/>
      <c r="G425" s="101"/>
      <c r="H425" s="101"/>
      <c r="I425" s="101"/>
    </row>
    <row r="426" spans="6:9" x14ac:dyDescent="0.3">
      <c r="F426" s="101"/>
      <c r="G426" s="101"/>
      <c r="H426" s="101"/>
      <c r="I426" s="101"/>
    </row>
    <row r="427" spans="6:9" x14ac:dyDescent="0.3">
      <c r="F427" s="101"/>
      <c r="G427" s="101"/>
      <c r="H427" s="101"/>
      <c r="I427" s="101"/>
    </row>
    <row r="428" spans="6:9" x14ac:dyDescent="0.3">
      <c r="F428" s="101"/>
      <c r="G428" s="101"/>
      <c r="H428" s="101"/>
      <c r="I428" s="101"/>
    </row>
    <row r="429" spans="6:9" x14ac:dyDescent="0.3">
      <c r="F429" s="101"/>
      <c r="G429" s="101"/>
      <c r="H429" s="101"/>
      <c r="I429" s="101"/>
    </row>
    <row r="430" spans="6:9" x14ac:dyDescent="0.3">
      <c r="F430" s="101"/>
      <c r="G430" s="101"/>
      <c r="H430" s="101"/>
      <c r="I430" s="101"/>
    </row>
    <row r="431" spans="6:9" x14ac:dyDescent="0.3">
      <c r="F431" s="101"/>
      <c r="G431" s="101"/>
      <c r="H431" s="101"/>
      <c r="I431" s="101"/>
    </row>
    <row r="432" spans="6:9" x14ac:dyDescent="0.3">
      <c r="F432" s="101"/>
      <c r="G432" s="101"/>
      <c r="H432" s="101"/>
      <c r="I432" s="101"/>
    </row>
    <row r="433" spans="6:9" x14ac:dyDescent="0.3">
      <c r="F433" s="101"/>
      <c r="G433" s="101"/>
      <c r="H433" s="101"/>
      <c r="I433" s="101"/>
    </row>
    <row r="434" spans="6:9" x14ac:dyDescent="0.3">
      <c r="F434" s="101"/>
      <c r="G434" s="101"/>
      <c r="H434" s="101"/>
      <c r="I434" s="101"/>
    </row>
    <row r="435" spans="6:9" x14ac:dyDescent="0.3">
      <c r="F435" s="101"/>
      <c r="G435" s="101"/>
      <c r="H435" s="101"/>
      <c r="I435" s="101"/>
    </row>
    <row r="436" spans="6:9" x14ac:dyDescent="0.3">
      <c r="F436" s="101"/>
      <c r="G436" s="101"/>
      <c r="H436" s="101"/>
      <c r="I436" s="101"/>
    </row>
    <row r="437" spans="6:9" x14ac:dyDescent="0.3">
      <c r="F437" s="101"/>
      <c r="G437" s="101"/>
      <c r="H437" s="101"/>
      <c r="I437" s="101"/>
    </row>
    <row r="438" spans="6:9" x14ac:dyDescent="0.3">
      <c r="F438" s="101"/>
      <c r="G438" s="101"/>
      <c r="H438" s="101"/>
      <c r="I438" s="101"/>
    </row>
    <row r="439" spans="6:9" x14ac:dyDescent="0.3">
      <c r="F439" s="101"/>
      <c r="G439" s="101"/>
      <c r="H439" s="101"/>
      <c r="I439" s="101"/>
    </row>
    <row r="440" spans="6:9" x14ac:dyDescent="0.3">
      <c r="F440" s="101"/>
      <c r="G440" s="101"/>
      <c r="H440" s="101"/>
      <c r="I440" s="101"/>
    </row>
    <row r="441" spans="6:9" x14ac:dyDescent="0.3">
      <c r="F441" s="101"/>
      <c r="G441" s="101"/>
      <c r="H441" s="101"/>
      <c r="I441" s="101"/>
    </row>
    <row r="442" spans="6:9" x14ac:dyDescent="0.3">
      <c r="F442" s="101"/>
      <c r="G442" s="101"/>
      <c r="H442" s="101"/>
      <c r="I442" s="101"/>
    </row>
    <row r="443" spans="6:9" x14ac:dyDescent="0.3">
      <c r="F443" s="101"/>
      <c r="G443" s="101"/>
      <c r="H443" s="101"/>
      <c r="I443" s="101"/>
    </row>
    <row r="444" spans="6:9" x14ac:dyDescent="0.3">
      <c r="F444" s="101"/>
      <c r="G444" s="101"/>
      <c r="H444" s="101"/>
      <c r="I444" s="101"/>
    </row>
    <row r="445" spans="6:9" x14ac:dyDescent="0.3">
      <c r="F445" s="101"/>
      <c r="G445" s="101"/>
      <c r="H445" s="101"/>
      <c r="I445" s="101"/>
    </row>
    <row r="446" spans="6:9" x14ac:dyDescent="0.3">
      <c r="F446" s="101"/>
      <c r="G446" s="101"/>
      <c r="H446" s="101"/>
      <c r="I446" s="101"/>
    </row>
    <row r="447" spans="6:9" x14ac:dyDescent="0.3">
      <c r="F447" s="101"/>
      <c r="G447" s="101"/>
      <c r="H447" s="101"/>
      <c r="I447" s="101"/>
    </row>
    <row r="448" spans="6:9" x14ac:dyDescent="0.3">
      <c r="F448" s="101"/>
      <c r="G448" s="101"/>
      <c r="H448" s="101"/>
      <c r="I448" s="101"/>
    </row>
    <row r="449" spans="6:9" x14ac:dyDescent="0.3">
      <c r="F449" s="101"/>
      <c r="G449" s="101"/>
      <c r="H449" s="101"/>
      <c r="I449" s="101"/>
    </row>
    <row r="450" spans="6:9" x14ac:dyDescent="0.3">
      <c r="F450" s="101"/>
      <c r="G450" s="101"/>
      <c r="H450" s="101"/>
      <c r="I450" s="101"/>
    </row>
    <row r="451" spans="6:9" x14ac:dyDescent="0.3">
      <c r="F451" s="101"/>
      <c r="G451" s="101"/>
      <c r="H451" s="101"/>
      <c r="I451" s="101"/>
    </row>
    <row r="452" spans="6:9" x14ac:dyDescent="0.3">
      <c r="F452" s="101"/>
      <c r="G452" s="101"/>
      <c r="H452" s="101"/>
      <c r="I452" s="101"/>
    </row>
    <row r="453" spans="6:9" x14ac:dyDescent="0.3">
      <c r="F453" s="101"/>
      <c r="G453" s="101"/>
      <c r="H453" s="101"/>
      <c r="I453" s="101"/>
    </row>
    <row r="454" spans="6:9" x14ac:dyDescent="0.3">
      <c r="F454" s="101"/>
      <c r="G454" s="101"/>
      <c r="H454" s="101"/>
      <c r="I454" s="101"/>
    </row>
    <row r="455" spans="6:9" x14ac:dyDescent="0.3">
      <c r="F455" s="101"/>
      <c r="G455" s="101"/>
      <c r="H455" s="101"/>
      <c r="I455" s="101"/>
    </row>
    <row r="456" spans="6:9" x14ac:dyDescent="0.3">
      <c r="F456" s="101"/>
      <c r="G456" s="101"/>
      <c r="H456" s="101"/>
      <c r="I456" s="101"/>
    </row>
    <row r="457" spans="6:9" x14ac:dyDescent="0.3">
      <c r="F457" s="101"/>
      <c r="G457" s="101"/>
      <c r="H457" s="101"/>
      <c r="I457" s="101"/>
    </row>
    <row r="458" spans="6:9" x14ac:dyDescent="0.3">
      <c r="F458" s="101"/>
      <c r="G458" s="101"/>
      <c r="H458" s="101"/>
      <c r="I458" s="101"/>
    </row>
    <row r="459" spans="6:9" x14ac:dyDescent="0.3">
      <c r="F459" s="101"/>
      <c r="G459" s="101"/>
      <c r="H459" s="101"/>
      <c r="I459" s="101"/>
    </row>
    <row r="460" spans="6:9" x14ac:dyDescent="0.3">
      <c r="F460" s="101"/>
      <c r="G460" s="101"/>
      <c r="H460" s="101"/>
      <c r="I460" s="101"/>
    </row>
    <row r="461" spans="6:9" x14ac:dyDescent="0.3">
      <c r="F461" s="101"/>
      <c r="G461" s="101"/>
      <c r="H461" s="101"/>
      <c r="I461" s="101"/>
    </row>
    <row r="462" spans="6:9" x14ac:dyDescent="0.3">
      <c r="F462" s="101"/>
      <c r="G462" s="101"/>
      <c r="H462" s="101"/>
      <c r="I462" s="101"/>
    </row>
    <row r="463" spans="6:9" x14ac:dyDescent="0.3">
      <c r="F463" s="101"/>
      <c r="G463" s="101"/>
      <c r="H463" s="101"/>
      <c r="I463" s="101"/>
    </row>
    <row r="464" spans="6:9" x14ac:dyDescent="0.3">
      <c r="F464" s="101"/>
      <c r="G464" s="101"/>
      <c r="H464" s="101"/>
      <c r="I464" s="101"/>
    </row>
    <row r="465" spans="6:9" x14ac:dyDescent="0.3">
      <c r="F465" s="101"/>
      <c r="G465" s="101"/>
      <c r="H465" s="101"/>
      <c r="I465" s="101"/>
    </row>
    <row r="466" spans="6:9" x14ac:dyDescent="0.3">
      <c r="F466" s="101"/>
      <c r="G466" s="101"/>
      <c r="H466" s="101"/>
      <c r="I466" s="101"/>
    </row>
    <row r="467" spans="6:9" x14ac:dyDescent="0.3">
      <c r="F467" s="101"/>
      <c r="G467" s="101"/>
      <c r="H467" s="101"/>
      <c r="I467" s="101"/>
    </row>
    <row r="468" spans="6:9" x14ac:dyDescent="0.3">
      <c r="F468" s="101"/>
      <c r="G468" s="101"/>
      <c r="H468" s="101"/>
      <c r="I468" s="101"/>
    </row>
    <row r="469" spans="6:9" x14ac:dyDescent="0.3">
      <c r="F469" s="101"/>
      <c r="G469" s="101"/>
      <c r="H469" s="101"/>
      <c r="I469" s="101"/>
    </row>
    <row r="470" spans="6:9" x14ac:dyDescent="0.3">
      <c r="F470" s="101"/>
      <c r="G470" s="101"/>
      <c r="H470" s="101"/>
      <c r="I470" s="101"/>
    </row>
    <row r="471" spans="6:9" x14ac:dyDescent="0.3">
      <c r="F471" s="101"/>
      <c r="G471" s="101"/>
      <c r="H471" s="101"/>
      <c r="I471" s="101"/>
    </row>
    <row r="472" spans="6:9" x14ac:dyDescent="0.3">
      <c r="F472" s="101"/>
      <c r="G472" s="101"/>
      <c r="H472" s="101"/>
      <c r="I472" s="101"/>
    </row>
    <row r="473" spans="6:9" x14ac:dyDescent="0.3">
      <c r="F473" s="101"/>
      <c r="G473" s="101"/>
      <c r="H473" s="101"/>
      <c r="I473" s="101"/>
    </row>
    <row r="474" spans="6:9" x14ac:dyDescent="0.3">
      <c r="F474" s="101"/>
      <c r="G474" s="101"/>
      <c r="H474" s="101"/>
      <c r="I474" s="101"/>
    </row>
    <row r="475" spans="6:9" x14ac:dyDescent="0.3">
      <c r="F475" s="101"/>
      <c r="G475" s="101"/>
      <c r="H475" s="101"/>
      <c r="I475" s="101"/>
    </row>
    <row r="476" spans="6:9" x14ac:dyDescent="0.3">
      <c r="F476" s="101"/>
      <c r="G476" s="101"/>
      <c r="H476" s="101"/>
      <c r="I476" s="101"/>
    </row>
    <row r="477" spans="6:9" x14ac:dyDescent="0.3">
      <c r="F477" s="101"/>
      <c r="G477" s="101"/>
      <c r="H477" s="101"/>
      <c r="I477" s="101"/>
    </row>
    <row r="478" spans="6:9" x14ac:dyDescent="0.3">
      <c r="F478" s="101"/>
      <c r="G478" s="101"/>
      <c r="H478" s="101"/>
      <c r="I478" s="101"/>
    </row>
    <row r="479" spans="6:9" x14ac:dyDescent="0.3">
      <c r="F479" s="101"/>
      <c r="G479" s="101"/>
      <c r="H479" s="101"/>
      <c r="I479" s="101"/>
    </row>
    <row r="480" spans="6:9" x14ac:dyDescent="0.3">
      <c r="F480" s="101"/>
      <c r="G480" s="101"/>
      <c r="H480" s="101"/>
      <c r="I480" s="101"/>
    </row>
    <row r="481" spans="6:9" x14ac:dyDescent="0.3">
      <c r="F481" s="101"/>
      <c r="G481" s="101"/>
      <c r="H481" s="101"/>
      <c r="I481" s="101"/>
    </row>
    <row r="482" spans="6:9" x14ac:dyDescent="0.3">
      <c r="F482" s="101"/>
      <c r="G482" s="101"/>
      <c r="H482" s="101"/>
      <c r="I482" s="101"/>
    </row>
    <row r="483" spans="6:9" x14ac:dyDescent="0.3">
      <c r="F483" s="101"/>
      <c r="G483" s="101"/>
      <c r="H483" s="101"/>
      <c r="I483" s="101"/>
    </row>
    <row r="484" spans="6:9" x14ac:dyDescent="0.3">
      <c r="F484" s="101"/>
      <c r="G484" s="101"/>
      <c r="H484" s="101"/>
      <c r="I484" s="101"/>
    </row>
    <row r="485" spans="6:9" x14ac:dyDescent="0.3">
      <c r="F485" s="101"/>
      <c r="G485" s="101"/>
      <c r="H485" s="101"/>
      <c r="I485" s="101"/>
    </row>
    <row r="486" spans="6:9" x14ac:dyDescent="0.3">
      <c r="F486" s="101"/>
      <c r="G486" s="101"/>
      <c r="H486" s="101"/>
      <c r="I486" s="101"/>
    </row>
    <row r="487" spans="6:9" x14ac:dyDescent="0.3">
      <c r="F487" s="101"/>
      <c r="G487" s="101"/>
      <c r="H487" s="101"/>
      <c r="I487" s="101"/>
    </row>
    <row r="488" spans="6:9" x14ac:dyDescent="0.3">
      <c r="F488" s="101"/>
      <c r="G488" s="101"/>
      <c r="H488" s="101"/>
      <c r="I488" s="101"/>
    </row>
    <row r="489" spans="6:9" x14ac:dyDescent="0.3">
      <c r="F489" s="101"/>
      <c r="G489" s="101"/>
      <c r="H489" s="101"/>
      <c r="I489" s="101"/>
    </row>
    <row r="490" spans="6:9" x14ac:dyDescent="0.3">
      <c r="F490" s="101"/>
      <c r="G490" s="101"/>
      <c r="H490" s="101"/>
      <c r="I490" s="101"/>
    </row>
    <row r="491" spans="6:9" x14ac:dyDescent="0.3">
      <c r="F491" s="101"/>
      <c r="G491" s="101"/>
      <c r="H491" s="101"/>
      <c r="I491" s="101"/>
    </row>
    <row r="492" spans="6:9" x14ac:dyDescent="0.3">
      <c r="F492" s="101"/>
      <c r="G492" s="101"/>
      <c r="H492" s="101"/>
      <c r="I492" s="101"/>
    </row>
    <row r="493" spans="6:9" x14ac:dyDescent="0.3">
      <c r="F493" s="101"/>
      <c r="G493" s="101"/>
      <c r="H493" s="101"/>
      <c r="I493" s="101"/>
    </row>
    <row r="494" spans="6:9" x14ac:dyDescent="0.3">
      <c r="F494" s="101"/>
      <c r="G494" s="101"/>
      <c r="H494" s="101"/>
      <c r="I494" s="101"/>
    </row>
    <row r="495" spans="6:9" x14ac:dyDescent="0.3">
      <c r="F495" s="101"/>
      <c r="G495" s="101"/>
      <c r="H495" s="101"/>
      <c r="I495" s="101"/>
    </row>
    <row r="496" spans="6:9" x14ac:dyDescent="0.3">
      <c r="F496" s="101"/>
      <c r="G496" s="101"/>
      <c r="H496" s="101"/>
      <c r="I496" s="101"/>
    </row>
    <row r="497" spans="6:9" x14ac:dyDescent="0.3">
      <c r="F497" s="101"/>
      <c r="G497" s="101"/>
      <c r="H497" s="101"/>
      <c r="I497" s="101"/>
    </row>
    <row r="498" spans="6:9" x14ac:dyDescent="0.3">
      <c r="F498" s="101"/>
      <c r="G498" s="101"/>
      <c r="H498" s="101"/>
      <c r="I498" s="101"/>
    </row>
    <row r="499" spans="6:9" x14ac:dyDescent="0.3">
      <c r="F499" s="101"/>
      <c r="G499" s="101"/>
      <c r="H499" s="101"/>
      <c r="I499" s="101"/>
    </row>
    <row r="500" spans="6:9" x14ac:dyDescent="0.3">
      <c r="F500" s="101"/>
      <c r="G500" s="101"/>
      <c r="H500" s="101"/>
      <c r="I500" s="101"/>
    </row>
    <row r="501" spans="6:9" x14ac:dyDescent="0.3">
      <c r="F501" s="101"/>
      <c r="G501" s="101"/>
      <c r="H501" s="101"/>
      <c r="I501" s="101"/>
    </row>
    <row r="502" spans="6:9" x14ac:dyDescent="0.3">
      <c r="F502" s="101"/>
      <c r="G502" s="101"/>
      <c r="H502" s="101"/>
      <c r="I502" s="101"/>
    </row>
    <row r="503" spans="6:9" x14ac:dyDescent="0.3">
      <c r="F503" s="101"/>
      <c r="G503" s="101"/>
      <c r="H503" s="101"/>
      <c r="I503" s="101"/>
    </row>
    <row r="504" spans="6:9" x14ac:dyDescent="0.3">
      <c r="F504" s="101"/>
      <c r="G504" s="101"/>
      <c r="H504" s="101"/>
      <c r="I504" s="101"/>
    </row>
    <row r="505" spans="6:9" x14ac:dyDescent="0.3">
      <c r="F505" s="101"/>
      <c r="G505" s="101"/>
      <c r="H505" s="101"/>
      <c r="I505" s="101"/>
    </row>
    <row r="506" spans="6:9" x14ac:dyDescent="0.3">
      <c r="F506" s="101"/>
      <c r="G506" s="101"/>
      <c r="H506" s="101"/>
      <c r="I506" s="101"/>
    </row>
    <row r="507" spans="6:9" x14ac:dyDescent="0.3">
      <c r="F507" s="101"/>
      <c r="G507" s="101"/>
      <c r="H507" s="101"/>
      <c r="I507" s="101"/>
    </row>
    <row r="508" spans="6:9" x14ac:dyDescent="0.3">
      <c r="F508" s="101"/>
      <c r="G508" s="101"/>
      <c r="H508" s="101"/>
      <c r="I508" s="101"/>
    </row>
    <row r="509" spans="6:9" x14ac:dyDescent="0.3">
      <c r="F509" s="101"/>
      <c r="G509" s="101"/>
      <c r="H509" s="101"/>
      <c r="I509" s="101"/>
    </row>
    <row r="510" spans="6:9" x14ac:dyDescent="0.3">
      <c r="F510" s="101"/>
      <c r="G510" s="101"/>
      <c r="H510" s="101"/>
      <c r="I510" s="101"/>
    </row>
    <row r="511" spans="6:9" x14ac:dyDescent="0.3">
      <c r="F511" s="101"/>
      <c r="G511" s="101"/>
      <c r="H511" s="101"/>
      <c r="I511" s="101"/>
    </row>
    <row r="512" spans="6:9" x14ac:dyDescent="0.3">
      <c r="F512" s="101"/>
      <c r="G512" s="101"/>
      <c r="H512" s="101"/>
      <c r="I512" s="101"/>
    </row>
    <row r="513" spans="6:9" x14ac:dyDescent="0.3">
      <c r="F513" s="101"/>
      <c r="G513" s="101"/>
      <c r="H513" s="101"/>
      <c r="I513" s="101"/>
    </row>
    <row r="514" spans="6:9" x14ac:dyDescent="0.3">
      <c r="F514" s="101"/>
      <c r="G514" s="101"/>
      <c r="H514" s="101"/>
      <c r="I514" s="101"/>
    </row>
    <row r="515" spans="6:9" x14ac:dyDescent="0.3">
      <c r="F515" s="101"/>
      <c r="G515" s="101"/>
      <c r="H515" s="101"/>
      <c r="I515" s="101"/>
    </row>
    <row r="516" spans="6:9" x14ac:dyDescent="0.3">
      <c r="F516" s="101"/>
      <c r="G516" s="101"/>
      <c r="H516" s="101"/>
      <c r="I516" s="101"/>
    </row>
    <row r="517" spans="6:9" x14ac:dyDescent="0.3">
      <c r="F517" s="101"/>
      <c r="G517" s="101"/>
      <c r="H517" s="101"/>
      <c r="I517" s="101"/>
    </row>
    <row r="518" spans="6:9" x14ac:dyDescent="0.3">
      <c r="F518" s="101"/>
      <c r="G518" s="101"/>
      <c r="H518" s="101"/>
      <c r="I518" s="101"/>
    </row>
    <row r="519" spans="6:9" x14ac:dyDescent="0.3">
      <c r="F519" s="101"/>
      <c r="G519" s="101"/>
      <c r="H519" s="101"/>
      <c r="I519" s="101"/>
    </row>
    <row r="520" spans="6:9" x14ac:dyDescent="0.3">
      <c r="F520" s="101"/>
      <c r="G520" s="101"/>
      <c r="H520" s="101"/>
      <c r="I520" s="101"/>
    </row>
    <row r="521" spans="6:9" x14ac:dyDescent="0.3">
      <c r="F521" s="101"/>
      <c r="G521" s="101"/>
      <c r="H521" s="101"/>
      <c r="I521" s="101"/>
    </row>
    <row r="522" spans="6:9" x14ac:dyDescent="0.3">
      <c r="F522" s="101"/>
      <c r="G522" s="101"/>
      <c r="H522" s="101"/>
      <c r="I522" s="101"/>
    </row>
    <row r="523" spans="6:9" x14ac:dyDescent="0.3">
      <c r="F523" s="101"/>
      <c r="G523" s="101"/>
      <c r="H523" s="101"/>
      <c r="I523" s="101"/>
    </row>
    <row r="524" spans="6:9" x14ac:dyDescent="0.3">
      <c r="F524" s="101"/>
      <c r="G524" s="101"/>
      <c r="H524" s="101"/>
      <c r="I524" s="101"/>
    </row>
    <row r="525" spans="6:9" x14ac:dyDescent="0.3">
      <c r="F525" s="101"/>
      <c r="G525" s="101"/>
      <c r="H525" s="101"/>
      <c r="I525" s="101"/>
    </row>
    <row r="526" spans="6:9" x14ac:dyDescent="0.3">
      <c r="F526" s="101"/>
      <c r="G526" s="101"/>
      <c r="H526" s="101"/>
      <c r="I526" s="101"/>
    </row>
    <row r="527" spans="6:9" x14ac:dyDescent="0.3">
      <c r="F527" s="101"/>
      <c r="G527" s="101"/>
      <c r="H527" s="101"/>
      <c r="I527" s="101"/>
    </row>
    <row r="528" spans="6:9" x14ac:dyDescent="0.3">
      <c r="F528" s="101"/>
      <c r="G528" s="101"/>
      <c r="H528" s="101"/>
      <c r="I528" s="101"/>
    </row>
    <row r="529" spans="6:9" x14ac:dyDescent="0.3">
      <c r="F529" s="101"/>
      <c r="G529" s="101"/>
      <c r="H529" s="101"/>
      <c r="I529" s="101"/>
    </row>
    <row r="530" spans="6:9" x14ac:dyDescent="0.3">
      <c r="F530" s="101"/>
      <c r="G530" s="101"/>
      <c r="H530" s="101"/>
      <c r="I530" s="101"/>
    </row>
    <row r="531" spans="6:9" x14ac:dyDescent="0.3">
      <c r="F531" s="101"/>
      <c r="G531" s="101"/>
      <c r="H531" s="101"/>
      <c r="I531" s="101"/>
    </row>
    <row r="532" spans="6:9" x14ac:dyDescent="0.3">
      <c r="F532" s="101"/>
      <c r="G532" s="101"/>
      <c r="H532" s="101"/>
      <c r="I532" s="101"/>
    </row>
    <row r="533" spans="6:9" x14ac:dyDescent="0.3">
      <c r="F533" s="101"/>
      <c r="G533" s="101"/>
      <c r="H533" s="101"/>
      <c r="I533" s="101"/>
    </row>
    <row r="534" spans="6:9" x14ac:dyDescent="0.3">
      <c r="F534" s="101"/>
      <c r="G534" s="101"/>
      <c r="H534" s="101"/>
      <c r="I534" s="101"/>
    </row>
    <row r="535" spans="6:9" x14ac:dyDescent="0.3">
      <c r="F535" s="101"/>
      <c r="G535" s="101"/>
      <c r="H535" s="101"/>
      <c r="I535" s="101"/>
    </row>
    <row r="536" spans="6:9" x14ac:dyDescent="0.3">
      <c r="F536" s="101"/>
      <c r="G536" s="101"/>
      <c r="H536" s="101"/>
      <c r="I536" s="101"/>
    </row>
    <row r="537" spans="6:9" x14ac:dyDescent="0.3">
      <c r="F537" s="101"/>
      <c r="G537" s="101"/>
      <c r="H537" s="101"/>
      <c r="I537" s="101"/>
    </row>
    <row r="538" spans="6:9" x14ac:dyDescent="0.3">
      <c r="F538" s="101"/>
      <c r="G538" s="101"/>
      <c r="H538" s="101"/>
      <c r="I538" s="101"/>
    </row>
    <row r="539" spans="6:9" x14ac:dyDescent="0.3">
      <c r="F539" s="101"/>
      <c r="G539" s="101"/>
      <c r="H539" s="101"/>
      <c r="I539" s="101"/>
    </row>
    <row r="540" spans="6:9" x14ac:dyDescent="0.3">
      <c r="F540" s="101"/>
      <c r="G540" s="101"/>
      <c r="H540" s="101"/>
      <c r="I540" s="101"/>
    </row>
    <row r="541" spans="6:9" x14ac:dyDescent="0.3">
      <c r="F541" s="101"/>
      <c r="G541" s="101"/>
      <c r="H541" s="101"/>
      <c r="I541" s="101"/>
    </row>
    <row r="542" spans="6:9" x14ac:dyDescent="0.3">
      <c r="F542" s="101"/>
      <c r="G542" s="101"/>
      <c r="H542" s="101"/>
      <c r="I542" s="101"/>
    </row>
    <row r="543" spans="6:9" x14ac:dyDescent="0.3">
      <c r="F543" s="101"/>
      <c r="G543" s="101"/>
      <c r="H543" s="101"/>
      <c r="I543" s="101"/>
    </row>
    <row r="544" spans="6:9" x14ac:dyDescent="0.3">
      <c r="F544" s="101"/>
      <c r="G544" s="101"/>
      <c r="H544" s="101"/>
      <c r="I544" s="101"/>
    </row>
    <row r="545" spans="6:9" x14ac:dyDescent="0.3">
      <c r="F545" s="101"/>
      <c r="G545" s="101"/>
      <c r="H545" s="101"/>
      <c r="I545" s="101"/>
    </row>
    <row r="546" spans="6:9" x14ac:dyDescent="0.3">
      <c r="F546" s="101"/>
      <c r="G546" s="101"/>
      <c r="H546" s="101"/>
      <c r="I546" s="101"/>
    </row>
    <row r="547" spans="6:9" x14ac:dyDescent="0.3">
      <c r="F547" s="101"/>
      <c r="G547" s="101"/>
      <c r="H547" s="101"/>
      <c r="I547" s="101"/>
    </row>
    <row r="548" spans="6:9" x14ac:dyDescent="0.3">
      <c r="F548" s="101"/>
      <c r="G548" s="101"/>
      <c r="H548" s="101"/>
      <c r="I548" s="101"/>
    </row>
    <row r="549" spans="6:9" x14ac:dyDescent="0.3">
      <c r="F549" s="101"/>
      <c r="G549" s="101"/>
      <c r="H549" s="101"/>
      <c r="I549" s="101"/>
    </row>
    <row r="550" spans="6:9" x14ac:dyDescent="0.3">
      <c r="F550" s="101"/>
      <c r="G550" s="101"/>
      <c r="H550" s="101"/>
      <c r="I550" s="101"/>
    </row>
    <row r="551" spans="6:9" x14ac:dyDescent="0.3">
      <c r="F551" s="101"/>
      <c r="G551" s="101"/>
      <c r="H551" s="101"/>
      <c r="I551" s="101"/>
    </row>
    <row r="552" spans="6:9" x14ac:dyDescent="0.3">
      <c r="F552" s="101"/>
      <c r="G552" s="101"/>
      <c r="H552" s="101"/>
      <c r="I552" s="101"/>
    </row>
    <row r="553" spans="6:9" x14ac:dyDescent="0.3">
      <c r="F553" s="101"/>
      <c r="G553" s="101"/>
      <c r="H553" s="101"/>
      <c r="I553" s="101"/>
    </row>
    <row r="554" spans="6:9" x14ac:dyDescent="0.3">
      <c r="F554" s="101"/>
      <c r="G554" s="101"/>
      <c r="H554" s="101"/>
      <c r="I554" s="101"/>
    </row>
    <row r="555" spans="6:9" x14ac:dyDescent="0.3">
      <c r="F555" s="101"/>
      <c r="G555" s="101"/>
      <c r="H555" s="101"/>
      <c r="I555" s="101"/>
    </row>
    <row r="556" spans="6:9" x14ac:dyDescent="0.3">
      <c r="F556" s="101"/>
      <c r="G556" s="101"/>
      <c r="H556" s="101"/>
      <c r="I556" s="101"/>
    </row>
    <row r="557" spans="6:9" x14ac:dyDescent="0.3">
      <c r="F557" s="101"/>
      <c r="G557" s="101"/>
      <c r="H557" s="101"/>
      <c r="I557" s="101"/>
    </row>
    <row r="558" spans="6:9" x14ac:dyDescent="0.3">
      <c r="F558" s="101"/>
      <c r="G558" s="101"/>
      <c r="H558" s="101"/>
      <c r="I558" s="101"/>
    </row>
    <row r="559" spans="6:9" x14ac:dyDescent="0.3">
      <c r="F559" s="101"/>
      <c r="G559" s="101"/>
      <c r="H559" s="101"/>
      <c r="I559" s="101"/>
    </row>
    <row r="560" spans="6:9" x14ac:dyDescent="0.3">
      <c r="F560" s="101"/>
      <c r="G560" s="101"/>
      <c r="H560" s="101"/>
      <c r="I560" s="101"/>
    </row>
    <row r="561" spans="6:9" x14ac:dyDescent="0.3">
      <c r="F561" s="101"/>
      <c r="G561" s="101"/>
      <c r="H561" s="101"/>
      <c r="I561" s="101"/>
    </row>
    <row r="562" spans="6:9" x14ac:dyDescent="0.3">
      <c r="F562" s="101"/>
      <c r="G562" s="101"/>
      <c r="H562" s="101"/>
      <c r="I562" s="101"/>
    </row>
    <row r="563" spans="6:9" x14ac:dyDescent="0.3">
      <c r="F563" s="101"/>
      <c r="G563" s="101"/>
      <c r="H563" s="101"/>
      <c r="I563" s="101"/>
    </row>
    <row r="564" spans="6:9" x14ac:dyDescent="0.3">
      <c r="F564" s="101"/>
      <c r="G564" s="101"/>
      <c r="H564" s="101"/>
      <c r="I564" s="101"/>
    </row>
    <row r="565" spans="6:9" x14ac:dyDescent="0.3">
      <c r="F565" s="101"/>
      <c r="G565" s="101"/>
      <c r="H565" s="101"/>
      <c r="I565" s="101"/>
    </row>
    <row r="566" spans="6:9" x14ac:dyDescent="0.3">
      <c r="F566" s="101"/>
      <c r="G566" s="101"/>
      <c r="H566" s="101"/>
      <c r="I566" s="101"/>
    </row>
    <row r="567" spans="6:9" x14ac:dyDescent="0.3">
      <c r="F567" s="101"/>
      <c r="G567" s="101"/>
      <c r="H567" s="101"/>
      <c r="I567" s="101"/>
    </row>
    <row r="568" spans="6:9" x14ac:dyDescent="0.3">
      <c r="F568" s="101"/>
      <c r="G568" s="101"/>
      <c r="H568" s="101"/>
      <c r="I568" s="101"/>
    </row>
    <row r="569" spans="6:9" x14ac:dyDescent="0.3">
      <c r="F569" s="101"/>
      <c r="G569" s="101"/>
      <c r="H569" s="101"/>
      <c r="I569" s="101"/>
    </row>
    <row r="570" spans="6:9" x14ac:dyDescent="0.3">
      <c r="F570" s="101"/>
      <c r="G570" s="101"/>
      <c r="H570" s="101"/>
      <c r="I570" s="101"/>
    </row>
    <row r="571" spans="6:9" x14ac:dyDescent="0.3">
      <c r="F571" s="101"/>
      <c r="G571" s="101"/>
      <c r="H571" s="101"/>
      <c r="I571" s="101"/>
    </row>
    <row r="572" spans="6:9" x14ac:dyDescent="0.3">
      <c r="F572" s="101"/>
      <c r="G572" s="101"/>
      <c r="H572" s="101"/>
      <c r="I572" s="101"/>
    </row>
    <row r="573" spans="6:9" x14ac:dyDescent="0.3">
      <c r="F573" s="101"/>
      <c r="G573" s="101"/>
      <c r="H573" s="101"/>
      <c r="I573" s="101"/>
    </row>
    <row r="574" spans="6:9" x14ac:dyDescent="0.3">
      <c r="F574" s="101"/>
      <c r="G574" s="101"/>
      <c r="H574" s="101"/>
      <c r="I574" s="101"/>
    </row>
    <row r="575" spans="6:9" x14ac:dyDescent="0.3">
      <c r="F575" s="101"/>
      <c r="G575" s="101"/>
      <c r="H575" s="101"/>
      <c r="I575" s="101"/>
    </row>
    <row r="576" spans="6:9" x14ac:dyDescent="0.3">
      <c r="F576" s="101"/>
      <c r="G576" s="101"/>
      <c r="H576" s="101"/>
      <c r="I576" s="101"/>
    </row>
    <row r="577" spans="6:9" x14ac:dyDescent="0.3">
      <c r="F577" s="101"/>
      <c r="G577" s="101"/>
      <c r="H577" s="101"/>
      <c r="I577" s="101"/>
    </row>
    <row r="578" spans="6:9" x14ac:dyDescent="0.3">
      <c r="F578" s="101"/>
      <c r="G578" s="101"/>
      <c r="H578" s="101"/>
      <c r="I578" s="101"/>
    </row>
    <row r="579" spans="6:9" x14ac:dyDescent="0.3">
      <c r="F579" s="101"/>
      <c r="G579" s="101"/>
      <c r="H579" s="101"/>
      <c r="I579" s="101"/>
    </row>
    <row r="580" spans="6:9" x14ac:dyDescent="0.3">
      <c r="F580" s="101"/>
      <c r="G580" s="101"/>
      <c r="H580" s="101"/>
      <c r="I580" s="101"/>
    </row>
    <row r="581" spans="6:9" x14ac:dyDescent="0.3">
      <c r="F581" s="101"/>
      <c r="G581" s="101"/>
      <c r="H581" s="101"/>
      <c r="I581" s="101"/>
    </row>
    <row r="582" spans="6:9" x14ac:dyDescent="0.3">
      <c r="F582" s="101"/>
      <c r="G582" s="101"/>
      <c r="H582" s="101"/>
      <c r="I582" s="101"/>
    </row>
    <row r="583" spans="6:9" x14ac:dyDescent="0.3">
      <c r="F583" s="101"/>
      <c r="G583" s="101"/>
      <c r="H583" s="101"/>
      <c r="I583" s="101"/>
    </row>
    <row r="584" spans="6:9" x14ac:dyDescent="0.3">
      <c r="F584" s="101"/>
      <c r="G584" s="101"/>
      <c r="H584" s="101"/>
      <c r="I584" s="101"/>
    </row>
    <row r="585" spans="6:9" x14ac:dyDescent="0.3">
      <c r="F585" s="101"/>
      <c r="G585" s="101"/>
      <c r="H585" s="101"/>
      <c r="I585" s="101"/>
    </row>
    <row r="586" spans="6:9" x14ac:dyDescent="0.3">
      <c r="F586" s="101"/>
      <c r="G586" s="101"/>
      <c r="H586" s="101"/>
      <c r="I586" s="101"/>
    </row>
    <row r="587" spans="6:9" x14ac:dyDescent="0.3">
      <c r="F587" s="101"/>
      <c r="G587" s="101"/>
      <c r="H587" s="101"/>
      <c r="I587" s="101"/>
    </row>
    <row r="588" spans="6:9" x14ac:dyDescent="0.3">
      <c r="F588" s="101"/>
      <c r="G588" s="101"/>
      <c r="H588" s="101"/>
      <c r="I588" s="101"/>
    </row>
    <row r="589" spans="6:9" x14ac:dyDescent="0.3">
      <c r="F589" s="101"/>
      <c r="G589" s="101"/>
      <c r="H589" s="101"/>
      <c r="I589" s="101"/>
    </row>
    <row r="590" spans="6:9" x14ac:dyDescent="0.3">
      <c r="F590" s="101"/>
      <c r="G590" s="101"/>
      <c r="H590" s="101"/>
      <c r="I590" s="101"/>
    </row>
    <row r="591" spans="6:9" x14ac:dyDescent="0.3">
      <c r="F591" s="101"/>
      <c r="G591" s="101"/>
      <c r="H591" s="101"/>
      <c r="I591" s="101"/>
    </row>
    <row r="592" spans="6:9" x14ac:dyDescent="0.3">
      <c r="F592" s="101"/>
      <c r="G592" s="101"/>
      <c r="H592" s="101"/>
      <c r="I592" s="101"/>
    </row>
    <row r="593" spans="6:9" x14ac:dyDescent="0.3">
      <c r="F593" s="101"/>
      <c r="G593" s="101"/>
      <c r="H593" s="101"/>
      <c r="I593" s="101"/>
    </row>
    <row r="594" spans="6:9" x14ac:dyDescent="0.3">
      <c r="F594" s="101"/>
      <c r="G594" s="101"/>
      <c r="H594" s="101"/>
      <c r="I594" s="101"/>
    </row>
    <row r="595" spans="6:9" x14ac:dyDescent="0.3">
      <c r="F595" s="101"/>
      <c r="G595" s="101"/>
      <c r="H595" s="101"/>
      <c r="I595" s="101"/>
    </row>
    <row r="596" spans="6:9" x14ac:dyDescent="0.3">
      <c r="F596" s="101"/>
      <c r="G596" s="101"/>
      <c r="H596" s="101"/>
      <c r="I596" s="101"/>
    </row>
    <row r="597" spans="6:9" x14ac:dyDescent="0.3">
      <c r="F597" s="101"/>
      <c r="G597" s="101"/>
      <c r="H597" s="101"/>
      <c r="I597" s="101"/>
    </row>
    <row r="598" spans="6:9" x14ac:dyDescent="0.3">
      <c r="F598" s="101"/>
      <c r="G598" s="101"/>
      <c r="H598" s="101"/>
      <c r="I598" s="101"/>
    </row>
    <row r="599" spans="6:9" x14ac:dyDescent="0.3">
      <c r="F599" s="101"/>
      <c r="G599" s="101"/>
      <c r="H599" s="101"/>
      <c r="I599" s="101"/>
    </row>
    <row r="600" spans="6:9" x14ac:dyDescent="0.3">
      <c r="F600" s="101"/>
      <c r="G600" s="101"/>
      <c r="H600" s="101"/>
      <c r="I600" s="101"/>
    </row>
    <row r="601" spans="6:9" x14ac:dyDescent="0.3">
      <c r="F601" s="101"/>
      <c r="G601" s="101"/>
      <c r="H601" s="101"/>
      <c r="I601" s="101"/>
    </row>
    <row r="602" spans="6:9" x14ac:dyDescent="0.3">
      <c r="F602" s="101"/>
      <c r="G602" s="101"/>
      <c r="H602" s="101"/>
      <c r="I602" s="101"/>
    </row>
    <row r="603" spans="6:9" x14ac:dyDescent="0.3">
      <c r="F603" s="101"/>
      <c r="G603" s="101"/>
      <c r="H603" s="101"/>
      <c r="I603" s="101"/>
    </row>
    <row r="604" spans="6:9" x14ac:dyDescent="0.3">
      <c r="F604" s="101"/>
      <c r="G604" s="101"/>
      <c r="H604" s="101"/>
      <c r="I604" s="101"/>
    </row>
    <row r="605" spans="6:9" x14ac:dyDescent="0.3">
      <c r="F605" s="101"/>
      <c r="G605" s="101"/>
      <c r="H605" s="101"/>
      <c r="I605" s="101"/>
    </row>
    <row r="606" spans="6:9" x14ac:dyDescent="0.3">
      <c r="F606" s="101"/>
      <c r="G606" s="101"/>
      <c r="H606" s="101"/>
      <c r="I606" s="101"/>
    </row>
    <row r="607" spans="6:9" x14ac:dyDescent="0.3">
      <c r="F607" s="101"/>
      <c r="G607" s="101"/>
      <c r="H607" s="101"/>
      <c r="I607" s="101"/>
    </row>
    <row r="608" spans="6:9" x14ac:dyDescent="0.3">
      <c r="F608" s="101"/>
      <c r="G608" s="101"/>
      <c r="H608" s="101"/>
      <c r="I608" s="101"/>
    </row>
    <row r="609" spans="6:9" x14ac:dyDescent="0.3">
      <c r="F609" s="101"/>
      <c r="G609" s="101"/>
      <c r="H609" s="101"/>
      <c r="I609" s="101"/>
    </row>
    <row r="610" spans="6:9" x14ac:dyDescent="0.3">
      <c r="F610" s="101"/>
      <c r="G610" s="101"/>
      <c r="H610" s="101"/>
      <c r="I610" s="101"/>
    </row>
    <row r="611" spans="6:9" x14ac:dyDescent="0.3">
      <c r="F611" s="101"/>
      <c r="G611" s="101"/>
      <c r="H611" s="101"/>
      <c r="I611" s="101"/>
    </row>
    <row r="612" spans="6:9" x14ac:dyDescent="0.3">
      <c r="F612" s="101"/>
      <c r="G612" s="101"/>
      <c r="H612" s="101"/>
      <c r="I612" s="101"/>
    </row>
    <row r="613" spans="6:9" x14ac:dyDescent="0.3">
      <c r="F613" s="101"/>
      <c r="G613" s="101"/>
      <c r="H613" s="101"/>
      <c r="I613" s="101"/>
    </row>
    <row r="614" spans="6:9" x14ac:dyDescent="0.3">
      <c r="F614" s="101"/>
      <c r="G614" s="101"/>
      <c r="H614" s="101"/>
      <c r="I614" s="101"/>
    </row>
    <row r="615" spans="6:9" x14ac:dyDescent="0.3">
      <c r="F615" s="101"/>
      <c r="G615" s="101"/>
      <c r="H615" s="101"/>
      <c r="I615" s="101"/>
    </row>
    <row r="616" spans="6:9" x14ac:dyDescent="0.3">
      <c r="F616" s="101"/>
      <c r="G616" s="101"/>
      <c r="H616" s="101"/>
      <c r="I616" s="101"/>
    </row>
    <row r="617" spans="6:9" x14ac:dyDescent="0.3">
      <c r="F617" s="101"/>
      <c r="G617" s="101"/>
      <c r="H617" s="101"/>
      <c r="I617" s="101"/>
    </row>
    <row r="618" spans="6:9" x14ac:dyDescent="0.3">
      <c r="F618" s="101"/>
      <c r="G618" s="101"/>
      <c r="H618" s="101"/>
      <c r="I618" s="101"/>
    </row>
    <row r="619" spans="6:9" x14ac:dyDescent="0.3">
      <c r="F619" s="101"/>
      <c r="G619" s="101"/>
      <c r="H619" s="101"/>
      <c r="I619" s="101"/>
    </row>
    <row r="620" spans="6:9" x14ac:dyDescent="0.3">
      <c r="F620" s="101"/>
      <c r="G620" s="101"/>
      <c r="H620" s="101"/>
      <c r="I620" s="101"/>
    </row>
    <row r="621" spans="6:9" x14ac:dyDescent="0.3">
      <c r="F621" s="101"/>
      <c r="G621" s="101"/>
      <c r="H621" s="101"/>
      <c r="I621" s="101"/>
    </row>
    <row r="622" spans="6:9" x14ac:dyDescent="0.3">
      <c r="F622" s="101"/>
      <c r="G622" s="101"/>
      <c r="H622" s="101"/>
      <c r="I622" s="101"/>
    </row>
    <row r="623" spans="6:9" x14ac:dyDescent="0.3">
      <c r="F623" s="101"/>
      <c r="G623" s="101"/>
      <c r="H623" s="101"/>
      <c r="I623" s="101"/>
    </row>
    <row r="624" spans="6:9" x14ac:dyDescent="0.3">
      <c r="F624" s="101"/>
      <c r="G624" s="101"/>
      <c r="H624" s="101"/>
      <c r="I624" s="101"/>
    </row>
    <row r="625" spans="6:9" x14ac:dyDescent="0.3">
      <c r="F625" s="101"/>
      <c r="G625" s="101"/>
      <c r="H625" s="101"/>
      <c r="I625" s="101"/>
    </row>
    <row r="626" spans="6:9" x14ac:dyDescent="0.3">
      <c r="F626" s="101"/>
      <c r="G626" s="101"/>
      <c r="H626" s="101"/>
      <c r="I626" s="101"/>
    </row>
    <row r="627" spans="6:9" x14ac:dyDescent="0.3">
      <c r="F627" s="101"/>
      <c r="G627" s="101"/>
      <c r="H627" s="101"/>
      <c r="I627" s="101"/>
    </row>
    <row r="628" spans="6:9" x14ac:dyDescent="0.3">
      <c r="F628" s="101"/>
      <c r="G628" s="101"/>
      <c r="H628" s="101"/>
      <c r="I628" s="101"/>
    </row>
    <row r="629" spans="6:9" x14ac:dyDescent="0.3">
      <c r="F629" s="101"/>
      <c r="G629" s="101"/>
      <c r="H629" s="101"/>
      <c r="I629" s="101"/>
    </row>
    <row r="630" spans="6:9" x14ac:dyDescent="0.3">
      <c r="F630" s="101"/>
      <c r="G630" s="101"/>
      <c r="H630" s="101"/>
      <c r="I630" s="101"/>
    </row>
    <row r="631" spans="6:9" x14ac:dyDescent="0.3">
      <c r="F631" s="101"/>
      <c r="G631" s="101"/>
      <c r="H631" s="101"/>
      <c r="I631" s="101"/>
    </row>
    <row r="632" spans="6:9" x14ac:dyDescent="0.3">
      <c r="F632" s="101"/>
      <c r="G632" s="101"/>
      <c r="H632" s="101"/>
      <c r="I632" s="101"/>
    </row>
    <row r="633" spans="6:9" x14ac:dyDescent="0.3">
      <c r="F633" s="101"/>
      <c r="G633" s="101"/>
      <c r="H633" s="101"/>
      <c r="I633" s="101"/>
    </row>
    <row r="634" spans="6:9" x14ac:dyDescent="0.3">
      <c r="F634" s="101"/>
      <c r="G634" s="101"/>
      <c r="H634" s="101"/>
      <c r="I634" s="101"/>
    </row>
    <row r="635" spans="6:9" x14ac:dyDescent="0.3">
      <c r="F635" s="101"/>
      <c r="G635" s="101"/>
      <c r="H635" s="101"/>
      <c r="I635" s="101"/>
    </row>
    <row r="636" spans="6:9" x14ac:dyDescent="0.3">
      <c r="F636" s="101"/>
      <c r="G636" s="101"/>
      <c r="H636" s="101"/>
      <c r="I636" s="101"/>
    </row>
    <row r="637" spans="6:9" x14ac:dyDescent="0.3">
      <c r="F637" s="101"/>
      <c r="G637" s="101"/>
      <c r="H637" s="101"/>
      <c r="I637" s="101"/>
    </row>
    <row r="638" spans="6:9" x14ac:dyDescent="0.3">
      <c r="F638" s="101"/>
      <c r="G638" s="101"/>
      <c r="H638" s="101"/>
      <c r="I638" s="101"/>
    </row>
    <row r="639" spans="6:9" x14ac:dyDescent="0.3">
      <c r="F639" s="101"/>
      <c r="G639" s="101"/>
      <c r="H639" s="101"/>
      <c r="I639" s="101"/>
    </row>
    <row r="640" spans="6:9" x14ac:dyDescent="0.3">
      <c r="F640" s="101"/>
      <c r="G640" s="101"/>
      <c r="H640" s="101"/>
      <c r="I640" s="101"/>
    </row>
    <row r="641" spans="6:9" x14ac:dyDescent="0.3">
      <c r="F641" s="101"/>
      <c r="G641" s="101"/>
      <c r="H641" s="101"/>
      <c r="I641" s="101"/>
    </row>
    <row r="642" spans="6:9" x14ac:dyDescent="0.3">
      <c r="F642" s="101"/>
      <c r="G642" s="101"/>
      <c r="H642" s="101"/>
      <c r="I642" s="101"/>
    </row>
    <row r="643" spans="6:9" x14ac:dyDescent="0.3">
      <c r="F643" s="101"/>
      <c r="G643" s="101"/>
      <c r="H643" s="101"/>
      <c r="I643" s="101"/>
    </row>
    <row r="644" spans="6:9" x14ac:dyDescent="0.3">
      <c r="F644" s="101"/>
      <c r="G644" s="101"/>
      <c r="H644" s="101"/>
      <c r="I644" s="101"/>
    </row>
    <row r="645" spans="6:9" x14ac:dyDescent="0.3">
      <c r="F645" s="101"/>
      <c r="G645" s="101"/>
      <c r="H645" s="101"/>
      <c r="I645" s="101"/>
    </row>
    <row r="646" spans="6:9" x14ac:dyDescent="0.3">
      <c r="F646" s="101"/>
      <c r="G646" s="101"/>
      <c r="H646" s="101"/>
      <c r="I646" s="101"/>
    </row>
    <row r="647" spans="6:9" x14ac:dyDescent="0.3">
      <c r="F647" s="101"/>
      <c r="G647" s="101"/>
      <c r="H647" s="101"/>
      <c r="I647" s="101"/>
    </row>
    <row r="648" spans="6:9" x14ac:dyDescent="0.3">
      <c r="F648" s="101"/>
      <c r="G648" s="101"/>
      <c r="H648" s="101"/>
      <c r="I648" s="101"/>
    </row>
    <row r="649" spans="6:9" x14ac:dyDescent="0.3">
      <c r="F649" s="101"/>
      <c r="G649" s="101"/>
      <c r="H649" s="101"/>
      <c r="I649" s="101"/>
    </row>
    <row r="650" spans="6:9" x14ac:dyDescent="0.3">
      <c r="F650" s="101"/>
      <c r="G650" s="101"/>
      <c r="H650" s="101"/>
      <c r="I650" s="101"/>
    </row>
    <row r="651" spans="6:9" x14ac:dyDescent="0.3">
      <c r="F651" s="101"/>
      <c r="G651" s="101"/>
      <c r="H651" s="101"/>
      <c r="I651" s="101"/>
    </row>
    <row r="652" spans="6:9" x14ac:dyDescent="0.3">
      <c r="F652" s="101"/>
      <c r="G652" s="101"/>
      <c r="H652" s="101"/>
      <c r="I652" s="101"/>
    </row>
    <row r="653" spans="6:9" x14ac:dyDescent="0.3">
      <c r="F653" s="101"/>
      <c r="G653" s="101"/>
      <c r="H653" s="101"/>
      <c r="I653" s="101"/>
    </row>
    <row r="654" spans="6:9" x14ac:dyDescent="0.3">
      <c r="F654" s="101"/>
      <c r="G654" s="101"/>
      <c r="H654" s="101"/>
      <c r="I654" s="101"/>
    </row>
    <row r="655" spans="6:9" x14ac:dyDescent="0.3">
      <c r="F655" s="101"/>
      <c r="G655" s="101"/>
      <c r="H655" s="101"/>
      <c r="I655" s="101"/>
    </row>
    <row r="656" spans="6:9" x14ac:dyDescent="0.3">
      <c r="F656" s="101"/>
      <c r="G656" s="101"/>
      <c r="H656" s="101"/>
      <c r="I656" s="101"/>
    </row>
    <row r="657" spans="6:9" x14ac:dyDescent="0.3">
      <c r="F657" s="101"/>
      <c r="G657" s="101"/>
      <c r="H657" s="101"/>
      <c r="I657" s="101"/>
    </row>
    <row r="658" spans="6:9" x14ac:dyDescent="0.3">
      <c r="F658" s="101"/>
      <c r="G658" s="101"/>
      <c r="H658" s="101"/>
      <c r="I658" s="101"/>
    </row>
    <row r="659" spans="6:9" x14ac:dyDescent="0.3">
      <c r="F659" s="101"/>
      <c r="G659" s="101"/>
      <c r="H659" s="101"/>
      <c r="I659" s="101"/>
    </row>
    <row r="660" spans="6:9" x14ac:dyDescent="0.3">
      <c r="F660" s="101"/>
      <c r="G660" s="101"/>
      <c r="H660" s="101"/>
      <c r="I660" s="101"/>
    </row>
    <row r="661" spans="6:9" x14ac:dyDescent="0.3">
      <c r="F661" s="101"/>
      <c r="G661" s="101"/>
      <c r="H661" s="101"/>
      <c r="I661" s="101"/>
    </row>
    <row r="662" spans="6:9" x14ac:dyDescent="0.3">
      <c r="F662" s="101"/>
      <c r="G662" s="101"/>
      <c r="H662" s="101"/>
      <c r="I662" s="101"/>
    </row>
    <row r="663" spans="6:9" x14ac:dyDescent="0.3">
      <c r="F663" s="101"/>
      <c r="G663" s="101"/>
      <c r="H663" s="101"/>
      <c r="I663" s="101"/>
    </row>
    <row r="664" spans="6:9" x14ac:dyDescent="0.3">
      <c r="F664" s="101"/>
      <c r="G664" s="101"/>
      <c r="H664" s="101"/>
      <c r="I664" s="101"/>
    </row>
    <row r="665" spans="6:9" x14ac:dyDescent="0.3">
      <c r="F665" s="101"/>
      <c r="G665" s="101"/>
      <c r="H665" s="101"/>
      <c r="I665" s="101"/>
    </row>
    <row r="666" spans="6:9" x14ac:dyDescent="0.3">
      <c r="F666" s="101"/>
      <c r="G666" s="101"/>
      <c r="H666" s="101"/>
      <c r="I666" s="101"/>
    </row>
    <row r="667" spans="6:9" x14ac:dyDescent="0.3">
      <c r="F667" s="101"/>
      <c r="G667" s="101"/>
      <c r="H667" s="101"/>
      <c r="I667" s="101"/>
    </row>
    <row r="668" spans="6:9" x14ac:dyDescent="0.3">
      <c r="F668" s="101"/>
      <c r="G668" s="101"/>
      <c r="H668" s="101"/>
      <c r="I668" s="101"/>
    </row>
    <row r="669" spans="6:9" x14ac:dyDescent="0.3">
      <c r="F669" s="101"/>
      <c r="G669" s="101"/>
      <c r="H669" s="101"/>
      <c r="I669" s="101"/>
    </row>
    <row r="670" spans="6:9" x14ac:dyDescent="0.3">
      <c r="F670" s="101"/>
      <c r="G670" s="101"/>
      <c r="H670" s="101"/>
      <c r="I670" s="101"/>
    </row>
    <row r="671" spans="6:9" x14ac:dyDescent="0.3">
      <c r="F671" s="101"/>
      <c r="G671" s="101"/>
      <c r="H671" s="101"/>
      <c r="I671" s="101"/>
    </row>
    <row r="672" spans="6:9" x14ac:dyDescent="0.3">
      <c r="F672" s="101"/>
      <c r="G672" s="101"/>
      <c r="H672" s="101"/>
      <c r="I672" s="101"/>
    </row>
    <row r="673" spans="6:9" x14ac:dyDescent="0.3">
      <c r="F673" s="101"/>
      <c r="G673" s="101"/>
      <c r="H673" s="101"/>
      <c r="I673" s="101"/>
    </row>
    <row r="674" spans="6:9" x14ac:dyDescent="0.3">
      <c r="F674" s="101"/>
      <c r="G674" s="101"/>
      <c r="H674" s="101"/>
      <c r="I674" s="101"/>
    </row>
    <row r="675" spans="6:9" x14ac:dyDescent="0.3">
      <c r="F675" s="101"/>
      <c r="G675" s="101"/>
      <c r="H675" s="101"/>
      <c r="I675" s="101"/>
    </row>
    <row r="676" spans="6:9" x14ac:dyDescent="0.3">
      <c r="F676" s="101"/>
      <c r="G676" s="101"/>
      <c r="H676" s="101"/>
      <c r="I676" s="101"/>
    </row>
    <row r="677" spans="6:9" x14ac:dyDescent="0.3">
      <c r="F677" s="101"/>
      <c r="G677" s="101"/>
      <c r="H677" s="101"/>
      <c r="I677" s="101"/>
    </row>
    <row r="678" spans="6:9" x14ac:dyDescent="0.3">
      <c r="F678" s="101"/>
      <c r="G678" s="101"/>
      <c r="H678" s="101"/>
      <c r="I678" s="101"/>
    </row>
    <row r="679" spans="6:9" x14ac:dyDescent="0.3">
      <c r="F679" s="101"/>
      <c r="G679" s="101"/>
      <c r="H679" s="101"/>
      <c r="I679" s="101"/>
    </row>
    <row r="680" spans="6:9" x14ac:dyDescent="0.3">
      <c r="F680" s="101"/>
      <c r="G680" s="101"/>
      <c r="H680" s="101"/>
      <c r="I680" s="101"/>
    </row>
    <row r="681" spans="6:9" x14ac:dyDescent="0.3">
      <c r="F681" s="101"/>
      <c r="G681" s="101"/>
      <c r="H681" s="101"/>
      <c r="I681" s="101"/>
    </row>
    <row r="682" spans="6:9" x14ac:dyDescent="0.3">
      <c r="F682" s="101"/>
      <c r="G682" s="101"/>
      <c r="H682" s="101"/>
      <c r="I682" s="101"/>
    </row>
    <row r="683" spans="6:9" x14ac:dyDescent="0.3">
      <c r="F683" s="101"/>
      <c r="G683" s="101"/>
      <c r="H683" s="101"/>
      <c r="I683" s="101"/>
    </row>
    <row r="684" spans="6:9" x14ac:dyDescent="0.3">
      <c r="F684" s="101"/>
      <c r="G684" s="101"/>
      <c r="H684" s="101"/>
      <c r="I684" s="101"/>
    </row>
    <row r="685" spans="6:9" x14ac:dyDescent="0.3">
      <c r="F685" s="101"/>
      <c r="G685" s="101"/>
      <c r="H685" s="101"/>
      <c r="I685" s="101"/>
    </row>
    <row r="686" spans="6:9" x14ac:dyDescent="0.3">
      <c r="F686" s="101"/>
      <c r="G686" s="101"/>
      <c r="H686" s="101"/>
      <c r="I686" s="101"/>
    </row>
    <row r="687" spans="6:9" x14ac:dyDescent="0.3">
      <c r="F687" s="101"/>
      <c r="G687" s="101"/>
      <c r="H687" s="101"/>
      <c r="I687" s="101"/>
    </row>
    <row r="688" spans="6:9" x14ac:dyDescent="0.3">
      <c r="F688" s="101"/>
      <c r="G688" s="101"/>
      <c r="H688" s="101"/>
      <c r="I688" s="101"/>
    </row>
    <row r="689" spans="6:9" x14ac:dyDescent="0.3">
      <c r="F689" s="101"/>
      <c r="G689" s="101"/>
      <c r="H689" s="101"/>
      <c r="I689" s="101"/>
    </row>
    <row r="690" spans="6:9" x14ac:dyDescent="0.3">
      <c r="F690" s="101"/>
      <c r="G690" s="101"/>
      <c r="H690" s="101"/>
      <c r="I690" s="101"/>
    </row>
    <row r="691" spans="6:9" x14ac:dyDescent="0.3">
      <c r="F691" s="101"/>
      <c r="G691" s="101"/>
      <c r="H691" s="101"/>
      <c r="I691" s="101"/>
    </row>
    <row r="692" spans="6:9" x14ac:dyDescent="0.3">
      <c r="F692" s="101"/>
      <c r="G692" s="101"/>
      <c r="H692" s="101"/>
      <c r="I692" s="101"/>
    </row>
    <row r="693" spans="6:9" x14ac:dyDescent="0.3">
      <c r="F693" s="101"/>
      <c r="G693" s="101"/>
      <c r="H693" s="101"/>
      <c r="I693" s="101"/>
    </row>
    <row r="694" spans="6:9" x14ac:dyDescent="0.3">
      <c r="F694" s="101"/>
      <c r="G694" s="101"/>
      <c r="H694" s="101"/>
      <c r="I694" s="101"/>
    </row>
    <row r="695" spans="6:9" x14ac:dyDescent="0.3">
      <c r="F695" s="101"/>
      <c r="G695" s="101"/>
      <c r="H695" s="101"/>
      <c r="I695" s="101"/>
    </row>
    <row r="696" spans="6:9" x14ac:dyDescent="0.3">
      <c r="F696" s="101"/>
      <c r="G696" s="101"/>
      <c r="H696" s="101"/>
      <c r="I696" s="101"/>
    </row>
    <row r="697" spans="6:9" x14ac:dyDescent="0.3">
      <c r="F697" s="101"/>
      <c r="G697" s="101"/>
      <c r="H697" s="101"/>
      <c r="I697" s="101"/>
    </row>
    <row r="698" spans="6:9" x14ac:dyDescent="0.3">
      <c r="F698" s="101"/>
      <c r="G698" s="101"/>
      <c r="H698" s="101"/>
      <c r="I698" s="101"/>
    </row>
    <row r="699" spans="6:9" x14ac:dyDescent="0.3">
      <c r="F699" s="101"/>
      <c r="G699" s="101"/>
      <c r="H699" s="101"/>
      <c r="I699" s="101"/>
    </row>
    <row r="700" spans="6:9" x14ac:dyDescent="0.3">
      <c r="F700" s="101"/>
      <c r="G700" s="101"/>
      <c r="H700" s="101"/>
      <c r="I700" s="101"/>
    </row>
    <row r="701" spans="6:9" x14ac:dyDescent="0.3">
      <c r="F701" s="101"/>
      <c r="G701" s="101"/>
      <c r="H701" s="101"/>
      <c r="I701" s="101"/>
    </row>
    <row r="702" spans="6:9" x14ac:dyDescent="0.3">
      <c r="F702" s="101"/>
      <c r="G702" s="101"/>
      <c r="H702" s="101"/>
      <c r="I702" s="101"/>
    </row>
    <row r="703" spans="6:9" x14ac:dyDescent="0.3">
      <c r="F703" s="101"/>
      <c r="G703" s="101"/>
      <c r="H703" s="101"/>
      <c r="I703" s="101"/>
    </row>
    <row r="704" spans="6:9" x14ac:dyDescent="0.3">
      <c r="F704" s="101"/>
      <c r="G704" s="101"/>
      <c r="H704" s="101"/>
      <c r="I704" s="101"/>
    </row>
    <row r="705" spans="6:9" x14ac:dyDescent="0.3">
      <c r="F705" s="101"/>
      <c r="G705" s="101"/>
      <c r="H705" s="101"/>
      <c r="I705" s="101"/>
    </row>
    <row r="706" spans="6:9" x14ac:dyDescent="0.3">
      <c r="F706" s="101"/>
      <c r="G706" s="101"/>
      <c r="H706" s="101"/>
      <c r="I706" s="101"/>
    </row>
    <row r="707" spans="6:9" x14ac:dyDescent="0.3">
      <c r="F707" s="101"/>
      <c r="G707" s="101"/>
      <c r="H707" s="101"/>
      <c r="I707" s="101"/>
    </row>
    <row r="708" spans="6:9" x14ac:dyDescent="0.3">
      <c r="F708" s="101"/>
      <c r="G708" s="101"/>
      <c r="H708" s="101"/>
      <c r="I708" s="101"/>
    </row>
    <row r="709" spans="6:9" x14ac:dyDescent="0.3">
      <c r="F709" s="101"/>
      <c r="G709" s="101"/>
      <c r="H709" s="101"/>
      <c r="I709" s="101"/>
    </row>
    <row r="710" spans="6:9" x14ac:dyDescent="0.3">
      <c r="F710" s="101"/>
      <c r="G710" s="101"/>
      <c r="H710" s="101"/>
      <c r="I710" s="101"/>
    </row>
    <row r="711" spans="6:9" x14ac:dyDescent="0.3">
      <c r="F711" s="101"/>
      <c r="G711" s="101"/>
      <c r="H711" s="101"/>
      <c r="I711" s="101"/>
    </row>
    <row r="712" spans="6:9" x14ac:dyDescent="0.3">
      <c r="F712" s="101"/>
      <c r="G712" s="101"/>
      <c r="H712" s="101"/>
      <c r="I712" s="101"/>
    </row>
    <row r="713" spans="6:9" x14ac:dyDescent="0.3">
      <c r="F713" s="101"/>
      <c r="G713" s="101"/>
      <c r="H713" s="101"/>
      <c r="I713" s="101"/>
    </row>
    <row r="714" spans="6:9" x14ac:dyDescent="0.3">
      <c r="F714" s="101"/>
      <c r="G714" s="101"/>
      <c r="H714" s="101"/>
      <c r="I714" s="101"/>
    </row>
    <row r="715" spans="6:9" x14ac:dyDescent="0.3">
      <c r="F715" s="101"/>
      <c r="G715" s="101"/>
      <c r="H715" s="101"/>
      <c r="I715" s="101"/>
    </row>
    <row r="716" spans="6:9" x14ac:dyDescent="0.3">
      <c r="F716" s="101"/>
      <c r="G716" s="101"/>
      <c r="H716" s="101"/>
      <c r="I716" s="101"/>
    </row>
    <row r="717" spans="6:9" x14ac:dyDescent="0.3">
      <c r="F717" s="101"/>
      <c r="G717" s="101"/>
      <c r="H717" s="101"/>
      <c r="I717" s="101"/>
    </row>
    <row r="718" spans="6:9" x14ac:dyDescent="0.3">
      <c r="F718" s="101"/>
      <c r="G718" s="101"/>
      <c r="H718" s="101"/>
      <c r="I718" s="101"/>
    </row>
    <row r="719" spans="6:9" x14ac:dyDescent="0.3">
      <c r="F719" s="101"/>
      <c r="G719" s="101"/>
      <c r="H719" s="101"/>
      <c r="I719" s="101"/>
    </row>
    <row r="720" spans="6:9" x14ac:dyDescent="0.3">
      <c r="F720" s="101"/>
      <c r="G720" s="101"/>
      <c r="H720" s="101"/>
      <c r="I720" s="101"/>
    </row>
    <row r="721" spans="6:9" x14ac:dyDescent="0.3">
      <c r="F721" s="101"/>
      <c r="G721" s="101"/>
      <c r="H721" s="101"/>
      <c r="I721" s="101"/>
    </row>
    <row r="722" spans="6:9" x14ac:dyDescent="0.3">
      <c r="F722" s="101"/>
      <c r="G722" s="101"/>
      <c r="H722" s="101"/>
      <c r="I722" s="101"/>
    </row>
    <row r="723" spans="6:9" x14ac:dyDescent="0.3">
      <c r="F723" s="101"/>
      <c r="G723" s="101"/>
      <c r="H723" s="101"/>
      <c r="I723" s="101"/>
    </row>
    <row r="724" spans="6:9" x14ac:dyDescent="0.3">
      <c r="F724" s="101"/>
      <c r="G724" s="101"/>
      <c r="H724" s="101"/>
      <c r="I724" s="101"/>
    </row>
    <row r="725" spans="6:9" x14ac:dyDescent="0.3">
      <c r="F725" s="101"/>
      <c r="G725" s="101"/>
      <c r="H725" s="101"/>
      <c r="I725" s="101"/>
    </row>
    <row r="726" spans="6:9" x14ac:dyDescent="0.3">
      <c r="F726" s="101"/>
      <c r="G726" s="101"/>
      <c r="H726" s="101"/>
      <c r="I726" s="101"/>
    </row>
    <row r="727" spans="6:9" x14ac:dyDescent="0.3">
      <c r="F727" s="101"/>
      <c r="G727" s="101"/>
      <c r="H727" s="101"/>
      <c r="I727" s="101"/>
    </row>
    <row r="728" spans="6:9" x14ac:dyDescent="0.3">
      <c r="F728" s="101"/>
      <c r="G728" s="101"/>
      <c r="H728" s="101"/>
      <c r="I728" s="101"/>
    </row>
    <row r="729" spans="6:9" x14ac:dyDescent="0.3">
      <c r="F729" s="101"/>
      <c r="G729" s="101"/>
      <c r="H729" s="101"/>
      <c r="I729" s="101"/>
    </row>
    <row r="730" spans="6:9" x14ac:dyDescent="0.3">
      <c r="F730" s="101"/>
      <c r="G730" s="101"/>
      <c r="H730" s="101"/>
      <c r="I730" s="101"/>
    </row>
    <row r="731" spans="6:9" x14ac:dyDescent="0.3">
      <c r="F731" s="101"/>
      <c r="G731" s="101"/>
      <c r="H731" s="101"/>
      <c r="I731" s="101"/>
    </row>
    <row r="732" spans="6:9" x14ac:dyDescent="0.3">
      <c r="F732" s="101"/>
      <c r="G732" s="101"/>
      <c r="H732" s="101"/>
      <c r="I732" s="101"/>
    </row>
    <row r="733" spans="6:9" x14ac:dyDescent="0.3">
      <c r="F733" s="101"/>
      <c r="G733" s="101"/>
      <c r="H733" s="101"/>
      <c r="I733" s="101"/>
    </row>
    <row r="734" spans="6:9" x14ac:dyDescent="0.3">
      <c r="F734" s="101"/>
      <c r="G734" s="101"/>
      <c r="H734" s="101"/>
      <c r="I734" s="101"/>
    </row>
    <row r="735" spans="6:9" x14ac:dyDescent="0.3">
      <c r="F735" s="101"/>
      <c r="G735" s="101"/>
      <c r="H735" s="101"/>
      <c r="I735" s="101"/>
    </row>
    <row r="736" spans="6:9" x14ac:dyDescent="0.3">
      <c r="F736" s="101"/>
      <c r="G736" s="101"/>
      <c r="H736" s="101"/>
      <c r="I736" s="101"/>
    </row>
    <row r="737" spans="6:9" x14ac:dyDescent="0.3">
      <c r="F737" s="101"/>
      <c r="G737" s="101"/>
      <c r="H737" s="101"/>
      <c r="I737" s="101"/>
    </row>
    <row r="738" spans="6:9" x14ac:dyDescent="0.3">
      <c r="F738" s="101"/>
      <c r="G738" s="101"/>
      <c r="H738" s="101"/>
      <c r="I738" s="101"/>
    </row>
    <row r="739" spans="6:9" x14ac:dyDescent="0.3">
      <c r="F739" s="101"/>
      <c r="G739" s="101"/>
      <c r="H739" s="101"/>
      <c r="I739" s="101"/>
    </row>
    <row r="740" spans="6:9" x14ac:dyDescent="0.3">
      <c r="F740" s="101"/>
      <c r="G740" s="101"/>
      <c r="H740" s="101"/>
      <c r="I740" s="101"/>
    </row>
    <row r="741" spans="6:9" x14ac:dyDescent="0.3">
      <c r="F741" s="101"/>
      <c r="G741" s="101"/>
      <c r="H741" s="101"/>
      <c r="I741" s="101"/>
    </row>
    <row r="742" spans="6:9" x14ac:dyDescent="0.3">
      <c r="F742" s="101"/>
      <c r="G742" s="101"/>
      <c r="H742" s="101"/>
      <c r="I742" s="101"/>
    </row>
    <row r="743" spans="6:9" x14ac:dyDescent="0.3">
      <c r="F743" s="101"/>
      <c r="G743" s="101"/>
      <c r="H743" s="101"/>
      <c r="I743" s="101"/>
    </row>
    <row r="744" spans="6:9" x14ac:dyDescent="0.3">
      <c r="F744" s="101"/>
      <c r="G744" s="101"/>
      <c r="H744" s="101"/>
      <c r="I744" s="101"/>
    </row>
    <row r="745" spans="6:9" x14ac:dyDescent="0.3">
      <c r="F745" s="101"/>
      <c r="G745" s="101"/>
      <c r="H745" s="101"/>
      <c r="I745" s="101"/>
    </row>
    <row r="746" spans="6:9" x14ac:dyDescent="0.3">
      <c r="F746" s="101"/>
      <c r="G746" s="101"/>
      <c r="H746" s="101"/>
      <c r="I746" s="101"/>
    </row>
    <row r="747" spans="6:9" x14ac:dyDescent="0.3">
      <c r="F747" s="101"/>
      <c r="G747" s="101"/>
      <c r="H747" s="101"/>
      <c r="I747" s="101"/>
    </row>
    <row r="748" spans="6:9" x14ac:dyDescent="0.3">
      <c r="F748" s="101"/>
      <c r="G748" s="101"/>
      <c r="H748" s="101"/>
      <c r="I748" s="101"/>
    </row>
    <row r="749" spans="6:9" x14ac:dyDescent="0.3">
      <c r="F749" s="101"/>
      <c r="G749" s="101"/>
      <c r="H749" s="101"/>
      <c r="I749" s="101"/>
    </row>
    <row r="750" spans="6:9" x14ac:dyDescent="0.3">
      <c r="F750" s="101"/>
      <c r="G750" s="101"/>
      <c r="H750" s="101"/>
      <c r="I750" s="101"/>
    </row>
    <row r="751" spans="6:9" x14ac:dyDescent="0.3">
      <c r="F751" s="101"/>
      <c r="G751" s="101"/>
      <c r="H751" s="101"/>
      <c r="I751" s="101"/>
    </row>
    <row r="752" spans="6:9" x14ac:dyDescent="0.3">
      <c r="F752" s="101"/>
      <c r="G752" s="101"/>
      <c r="H752" s="101"/>
      <c r="I752" s="101"/>
    </row>
    <row r="753" spans="6:9" x14ac:dyDescent="0.3">
      <c r="F753" s="101"/>
      <c r="G753" s="101"/>
      <c r="H753" s="101"/>
      <c r="I753" s="101"/>
    </row>
    <row r="754" spans="6:9" x14ac:dyDescent="0.3">
      <c r="F754" s="101"/>
      <c r="G754" s="101"/>
      <c r="H754" s="101"/>
      <c r="I754" s="101"/>
    </row>
    <row r="755" spans="6:9" x14ac:dyDescent="0.3">
      <c r="F755" s="101"/>
      <c r="G755" s="101"/>
      <c r="H755" s="101"/>
      <c r="I755" s="101"/>
    </row>
    <row r="756" spans="6:9" x14ac:dyDescent="0.3">
      <c r="F756" s="101"/>
      <c r="G756" s="101"/>
      <c r="H756" s="101"/>
      <c r="I756" s="101"/>
    </row>
    <row r="757" spans="6:9" x14ac:dyDescent="0.3">
      <c r="F757" s="101"/>
      <c r="G757" s="101"/>
      <c r="H757" s="101"/>
      <c r="I757" s="101"/>
    </row>
    <row r="758" spans="6:9" x14ac:dyDescent="0.3">
      <c r="F758" s="101"/>
      <c r="G758" s="101"/>
      <c r="H758" s="101"/>
      <c r="I758" s="101"/>
    </row>
    <row r="759" spans="6:9" x14ac:dyDescent="0.3">
      <c r="F759" s="101"/>
      <c r="G759" s="101"/>
      <c r="H759" s="101"/>
      <c r="I759" s="101"/>
    </row>
    <row r="760" spans="6:9" x14ac:dyDescent="0.3">
      <c r="F760" s="101"/>
      <c r="G760" s="101"/>
      <c r="H760" s="101"/>
      <c r="I760" s="101"/>
    </row>
    <row r="761" spans="6:9" x14ac:dyDescent="0.3">
      <c r="F761" s="101"/>
      <c r="G761" s="101"/>
      <c r="H761" s="101"/>
      <c r="I761" s="101"/>
    </row>
    <row r="762" spans="6:9" x14ac:dyDescent="0.3">
      <c r="F762" s="101"/>
      <c r="G762" s="101"/>
      <c r="H762" s="101"/>
      <c r="I762" s="101"/>
    </row>
    <row r="763" spans="6:9" x14ac:dyDescent="0.3">
      <c r="F763" s="101"/>
      <c r="G763" s="101"/>
      <c r="H763" s="101"/>
      <c r="I763" s="101"/>
    </row>
    <row r="764" spans="6:9" x14ac:dyDescent="0.3">
      <c r="F764" s="101"/>
      <c r="G764" s="101"/>
      <c r="H764" s="101"/>
      <c r="I764" s="101"/>
    </row>
    <row r="765" spans="6:9" x14ac:dyDescent="0.3">
      <c r="F765" s="101"/>
      <c r="G765" s="101"/>
      <c r="H765" s="101"/>
      <c r="I765" s="101"/>
    </row>
    <row r="766" spans="6:9" x14ac:dyDescent="0.3">
      <c r="F766" s="101"/>
      <c r="G766" s="101"/>
      <c r="H766" s="101"/>
      <c r="I766" s="101"/>
    </row>
    <row r="767" spans="6:9" x14ac:dyDescent="0.3">
      <c r="F767" s="101"/>
      <c r="G767" s="101"/>
      <c r="H767" s="101"/>
      <c r="I767" s="101"/>
    </row>
    <row r="768" spans="6:9" x14ac:dyDescent="0.3">
      <c r="F768" s="101"/>
      <c r="G768" s="101"/>
      <c r="H768" s="101"/>
      <c r="I768" s="101"/>
    </row>
    <row r="769" spans="6:9" x14ac:dyDescent="0.3">
      <c r="F769" s="101"/>
      <c r="G769" s="101"/>
      <c r="H769" s="101"/>
      <c r="I769" s="101"/>
    </row>
    <row r="770" spans="6:9" x14ac:dyDescent="0.3">
      <c r="F770" s="101"/>
      <c r="G770" s="101"/>
      <c r="H770" s="101"/>
      <c r="I770" s="101"/>
    </row>
    <row r="771" spans="6:9" x14ac:dyDescent="0.3">
      <c r="F771" s="101"/>
      <c r="G771" s="101"/>
      <c r="H771" s="101"/>
      <c r="I771" s="101"/>
    </row>
    <row r="772" spans="6:9" x14ac:dyDescent="0.3">
      <c r="F772" s="101"/>
      <c r="G772" s="101"/>
      <c r="H772" s="101"/>
      <c r="I772" s="101"/>
    </row>
    <row r="773" spans="6:9" x14ac:dyDescent="0.3">
      <c r="F773" s="101"/>
      <c r="G773" s="101"/>
      <c r="H773" s="101"/>
      <c r="I773" s="101"/>
    </row>
    <row r="774" spans="6:9" x14ac:dyDescent="0.3">
      <c r="F774" s="101"/>
      <c r="G774" s="101"/>
      <c r="H774" s="101"/>
      <c r="I774" s="101"/>
    </row>
    <row r="775" spans="6:9" x14ac:dyDescent="0.3">
      <c r="F775" s="101"/>
      <c r="G775" s="101"/>
      <c r="H775" s="101"/>
      <c r="I775" s="101"/>
    </row>
    <row r="776" spans="6:9" x14ac:dyDescent="0.3">
      <c r="F776" s="101"/>
      <c r="G776" s="101"/>
      <c r="H776" s="101"/>
      <c r="I776" s="101"/>
    </row>
  </sheetData>
  <autoFilter ref="B5:I316" xr:uid="{CFD127B8-67AB-4D7F-884D-83F7A4BBD8CA}">
    <filterColumn colId="4" showButton="0"/>
    <filterColumn colId="5" showButton="0"/>
    <filterColumn colId="6" showButton="0"/>
  </autoFilter>
  <dataConsolidate/>
  <mergeCells count="178">
    <mergeCell ref="D199:D200"/>
    <mergeCell ref="J191:J193"/>
    <mergeCell ref="A143:A148"/>
    <mergeCell ref="B143:B148"/>
    <mergeCell ref="C143:C148"/>
    <mergeCell ref="A2:J2"/>
    <mergeCell ref="A4:J4"/>
    <mergeCell ref="J5:J6"/>
    <mergeCell ref="J51:J52"/>
    <mergeCell ref="J61:J62"/>
    <mergeCell ref="A5:A6"/>
    <mergeCell ref="B5:B6"/>
    <mergeCell ref="F5:I5"/>
    <mergeCell ref="C5:C6"/>
    <mergeCell ref="D5:D6"/>
    <mergeCell ref="E5:E6"/>
    <mergeCell ref="B154:B156"/>
    <mergeCell ref="D154:D156"/>
    <mergeCell ref="B27:B28"/>
    <mergeCell ref="C27:C28"/>
    <mergeCell ref="A75:E75"/>
    <mergeCell ref="A140:E140"/>
    <mergeCell ref="A9:E9"/>
    <mergeCell ref="J217:J218"/>
    <mergeCell ref="B71:B72"/>
    <mergeCell ref="C71:C72"/>
    <mergeCell ref="A151:A153"/>
    <mergeCell ref="B151:B153"/>
    <mergeCell ref="A26:E26"/>
    <mergeCell ref="A7:E7"/>
    <mergeCell ref="B49:B50"/>
    <mergeCell ref="B54:B56"/>
    <mergeCell ref="A12:E12"/>
    <mergeCell ref="A29:E29"/>
    <mergeCell ref="A27:A28"/>
    <mergeCell ref="D49:D50"/>
    <mergeCell ref="C49:C50"/>
    <mergeCell ref="D166:D168"/>
    <mergeCell ref="B169:B171"/>
    <mergeCell ref="A169:A171"/>
    <mergeCell ref="A172:A173"/>
    <mergeCell ref="B172:B173"/>
    <mergeCell ref="D172:D173"/>
    <mergeCell ref="A71:A72"/>
    <mergeCell ref="A8:E8"/>
    <mergeCell ref="D151:D153"/>
    <mergeCell ref="A154:A156"/>
    <mergeCell ref="A321:E321"/>
    <mergeCell ref="A323:E323"/>
    <mergeCell ref="D145:D146"/>
    <mergeCell ref="D147:D148"/>
    <mergeCell ref="D158:D163"/>
    <mergeCell ref="A257:A258"/>
    <mergeCell ref="E259:E260"/>
    <mergeCell ref="D27:D28"/>
    <mergeCell ref="A35:E35"/>
    <mergeCell ref="A47:A48"/>
    <mergeCell ref="B47:B48"/>
    <mergeCell ref="C47:C48"/>
    <mergeCell ref="D47:D48"/>
    <mergeCell ref="A49:A50"/>
    <mergeCell ref="A51:A52"/>
    <mergeCell ref="B51:B52"/>
    <mergeCell ref="C51:C52"/>
    <mergeCell ref="D51:D52"/>
    <mergeCell ref="A129:E129"/>
    <mergeCell ref="A201:E201"/>
    <mergeCell ref="A54:A56"/>
    <mergeCell ref="A45:E45"/>
    <mergeCell ref="C54:C56"/>
    <mergeCell ref="D54:D56"/>
    <mergeCell ref="A340:E340"/>
    <mergeCell ref="A319:E319"/>
    <mergeCell ref="A58:E58"/>
    <mergeCell ref="B61:B62"/>
    <mergeCell ref="A61:A62"/>
    <mergeCell ref="C61:C62"/>
    <mergeCell ref="D61:D62"/>
    <mergeCell ref="A69:A70"/>
    <mergeCell ref="B69:B70"/>
    <mergeCell ref="C69:C70"/>
    <mergeCell ref="D69:D70"/>
    <mergeCell ref="D143:D144"/>
    <mergeCell ref="D71:D72"/>
    <mergeCell ref="A227:A228"/>
    <mergeCell ref="B227:B228"/>
    <mergeCell ref="C227:C228"/>
    <mergeCell ref="D227:D228"/>
    <mergeCell ref="D264:D268"/>
    <mergeCell ref="D245:D263"/>
    <mergeCell ref="A259:A260"/>
    <mergeCell ref="A264:A265"/>
    <mergeCell ref="D275:D276"/>
    <mergeCell ref="C275:C276"/>
    <mergeCell ref="B166:B168"/>
    <mergeCell ref="F259:F260"/>
    <mergeCell ref="G259:G260"/>
    <mergeCell ref="H259:H260"/>
    <mergeCell ref="I259:I260"/>
    <mergeCell ref="A177:A186"/>
    <mergeCell ref="A217:A218"/>
    <mergeCell ref="B217:B218"/>
    <mergeCell ref="C217:C218"/>
    <mergeCell ref="D217:D218"/>
    <mergeCell ref="B177:B186"/>
    <mergeCell ref="D177:D186"/>
    <mergeCell ref="A187:A189"/>
    <mergeCell ref="B187:B189"/>
    <mergeCell ref="D187:D189"/>
    <mergeCell ref="A215:E215"/>
    <mergeCell ref="D234:D236"/>
    <mergeCell ref="D237:D238"/>
    <mergeCell ref="D240:D241"/>
    <mergeCell ref="D242:D244"/>
    <mergeCell ref="C240:C241"/>
    <mergeCell ref="A197:A200"/>
    <mergeCell ref="B197:B200"/>
    <mergeCell ref="C197:C200"/>
    <mergeCell ref="D197:D198"/>
    <mergeCell ref="B305:B312"/>
    <mergeCell ref="C305:C312"/>
    <mergeCell ref="A166:A168"/>
    <mergeCell ref="A158:A163"/>
    <mergeCell ref="B158:B163"/>
    <mergeCell ref="C242:C244"/>
    <mergeCell ref="A237:A238"/>
    <mergeCell ref="C234:C236"/>
    <mergeCell ref="A240:A241"/>
    <mergeCell ref="A190:E190"/>
    <mergeCell ref="C266:C267"/>
    <mergeCell ref="C245:C247"/>
    <mergeCell ref="C248:C249"/>
    <mergeCell ref="C251:C252"/>
    <mergeCell ref="B245:B247"/>
    <mergeCell ref="B264:B265"/>
    <mergeCell ref="C237:C238"/>
    <mergeCell ref="A286:E286"/>
    <mergeCell ref="A191:A193"/>
    <mergeCell ref="B191:B193"/>
    <mergeCell ref="C191:C193"/>
    <mergeCell ref="D191:D193"/>
    <mergeCell ref="C279:C280"/>
    <mergeCell ref="A279:A280"/>
    <mergeCell ref="A275:A276"/>
    <mergeCell ref="A277:E277"/>
    <mergeCell ref="A230:E230"/>
    <mergeCell ref="A233:E233"/>
    <mergeCell ref="B234:B236"/>
    <mergeCell ref="B237:B238"/>
    <mergeCell ref="A234:A236"/>
    <mergeCell ref="A213:E213"/>
    <mergeCell ref="C257:C258"/>
    <mergeCell ref="C259:C260"/>
    <mergeCell ref="D269:D274"/>
    <mergeCell ref="A317:E317"/>
    <mergeCell ref="A338:E338"/>
    <mergeCell ref="A325:E325"/>
    <mergeCell ref="A327:E327"/>
    <mergeCell ref="A330:E330"/>
    <mergeCell ref="A332:E332"/>
    <mergeCell ref="A150:E150"/>
    <mergeCell ref="D301:D304"/>
    <mergeCell ref="B240:B241"/>
    <mergeCell ref="B266:B267"/>
    <mergeCell ref="A266:A267"/>
    <mergeCell ref="A242:A244"/>
    <mergeCell ref="A245:A247"/>
    <mergeCell ref="A248:A249"/>
    <mergeCell ref="D279:D280"/>
    <mergeCell ref="B275:B276"/>
    <mergeCell ref="B279:B280"/>
    <mergeCell ref="B242:B244"/>
    <mergeCell ref="B248:B249"/>
    <mergeCell ref="B257:B258"/>
    <mergeCell ref="B259:B260"/>
    <mergeCell ref="C264:C265"/>
    <mergeCell ref="A314:E314"/>
    <mergeCell ref="A305:A312"/>
  </mergeCells>
  <phoneticPr fontId="25" type="noConversion"/>
  <hyperlinks>
    <hyperlink ref="A350" r:id="rId1" display="mailto:%20dace.godina@fm.gov.lv" xr:uid="{83917492-185A-4718-9278-F64CA0F0E1EA}"/>
  </hyperlinks>
  <pageMargins left="0.70866141732283472" right="0.70866141732283472" top="0.74803149606299213" bottom="0.74803149606299213" header="0.31496062992125984" footer="0.31496062992125984"/>
  <pageSetup paperSize="9" scale="46" fitToHeight="0" orientation="portrait" r:id="rId2"/>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7A573-B356-45CD-A92B-105A7E601920}">
  <sheetPr>
    <pageSetUpPr fitToPage="1"/>
  </sheetPr>
  <dimension ref="A1:R905"/>
  <sheetViews>
    <sheetView zoomScale="90" zoomScaleNormal="90" workbookViewId="0">
      <pane ySplit="3" topLeftCell="A328" activePane="bottomLeft" state="frozen"/>
      <selection pane="bottomLeft" activeCell="F432" sqref="F432:I432"/>
    </sheetView>
  </sheetViews>
  <sheetFormatPr defaultColWidth="9.1796875" defaultRowHeight="13" x14ac:dyDescent="0.3"/>
  <cols>
    <col min="1" max="1" width="6.81640625" style="38" bestFit="1" customWidth="1"/>
    <col min="2" max="2" width="16.81640625" style="38" customWidth="1"/>
    <col min="3" max="3" width="34.7265625" style="23" customWidth="1"/>
    <col min="4" max="4" width="30" style="23" customWidth="1"/>
    <col min="5" max="5" width="18.81640625" style="23" customWidth="1"/>
    <col min="6" max="6" width="12.453125" style="100" customWidth="1"/>
    <col min="7" max="9" width="12.81640625" style="100" customWidth="1"/>
    <col min="10" max="10" width="31.81640625" style="148" customWidth="1"/>
    <col min="11" max="11" width="19.453125" style="228" customWidth="1"/>
    <col min="12" max="12" width="14.54296875" style="38" customWidth="1"/>
    <col min="13" max="13" width="97.26953125" style="148" customWidth="1"/>
    <col min="14" max="16384" width="9.1796875" style="23"/>
  </cols>
  <sheetData>
    <row r="1" spans="1:13" ht="17.5" x14ac:dyDescent="0.3">
      <c r="A1" s="469" t="s">
        <v>78</v>
      </c>
      <c r="B1" s="469"/>
      <c r="C1" s="469"/>
      <c r="D1" s="469"/>
      <c r="E1" s="469"/>
      <c r="F1" s="469"/>
      <c r="G1" s="469"/>
      <c r="H1" s="469"/>
      <c r="I1" s="469"/>
      <c r="J1" s="469"/>
      <c r="K1" s="469"/>
      <c r="L1" s="469"/>
      <c r="M1" s="469"/>
    </row>
    <row r="2" spans="1:13" ht="13.5" x14ac:dyDescent="0.3">
      <c r="A2" s="470" t="s">
        <v>79</v>
      </c>
      <c r="B2" s="470" t="s">
        <v>80</v>
      </c>
      <c r="C2" s="470" t="s">
        <v>81</v>
      </c>
      <c r="D2" s="472" t="s">
        <v>82</v>
      </c>
      <c r="E2" s="472" t="s">
        <v>83</v>
      </c>
      <c r="F2" s="474" t="s">
        <v>84</v>
      </c>
      <c r="G2" s="474"/>
      <c r="H2" s="474"/>
      <c r="I2" s="474"/>
      <c r="J2" s="472" t="s">
        <v>85</v>
      </c>
      <c r="K2" s="222"/>
      <c r="L2" s="204"/>
      <c r="M2" s="470" t="s">
        <v>86</v>
      </c>
    </row>
    <row r="3" spans="1:13" ht="54.65" customHeight="1" x14ac:dyDescent="0.3">
      <c r="A3" s="471"/>
      <c r="B3" s="471"/>
      <c r="C3" s="471"/>
      <c r="D3" s="473"/>
      <c r="E3" s="473"/>
      <c r="F3" s="150">
        <v>2026</v>
      </c>
      <c r="G3" s="150">
        <v>2027</v>
      </c>
      <c r="H3" s="150">
        <v>2028</v>
      </c>
      <c r="I3" s="150">
        <v>2029</v>
      </c>
      <c r="J3" s="473"/>
      <c r="K3" s="223" t="s">
        <v>87</v>
      </c>
      <c r="L3" s="205" t="s">
        <v>88</v>
      </c>
      <c r="M3" s="471"/>
    </row>
    <row r="4" spans="1:13" x14ac:dyDescent="0.3">
      <c r="A4" s="457" t="s">
        <v>89</v>
      </c>
      <c r="B4" s="458"/>
      <c r="C4" s="458"/>
      <c r="D4" s="458"/>
      <c r="E4" s="459"/>
      <c r="F4" s="39">
        <f>F14+F34+F43+F54+F68+F89+F113+F175+F191+F213+F259+F276+F296+F303+F325+F331+F383+F429+F394</f>
        <v>104125944.538</v>
      </c>
      <c r="G4" s="39">
        <f>G14+G34+G43+G54+G68+G89+G113+G175+G191+G213+G259+G276+G296+G303+G325+G331+G383+G429+G394</f>
        <v>98972360.538000003</v>
      </c>
      <c r="H4" s="39">
        <f>H14+H34+H43+H54+H68+H89+H113+H175+H191+H213+H259+H276+H296+H303+H325+H331+H383+H429+H394</f>
        <v>99356943.538000003</v>
      </c>
      <c r="I4" s="39">
        <f>I14+I34+I43+I54+I68+I89+I113+I175+I191+I213+I259+I276+I296+I303+I325+I331+I383+I429+I394</f>
        <v>99055564.538000003</v>
      </c>
      <c r="J4" s="141"/>
      <c r="K4" s="224"/>
      <c r="L4" s="215"/>
      <c r="M4" s="142"/>
    </row>
    <row r="5" spans="1:13" x14ac:dyDescent="0.3">
      <c r="A5" s="460" t="s">
        <v>90</v>
      </c>
      <c r="B5" s="461"/>
      <c r="C5" s="461"/>
      <c r="D5" s="461"/>
      <c r="E5" s="462"/>
      <c r="F5" s="149">
        <f>F15+F35+F44+F55+F69+F90+F114+F176+F192+F214+F260+F277+F297+F304+F326+F332+F384+F430+F395</f>
        <v>139999999.70538411</v>
      </c>
      <c r="G5" s="149"/>
      <c r="H5" s="149"/>
      <c r="I5" s="149"/>
      <c r="J5" s="143"/>
      <c r="K5" s="225"/>
      <c r="L5" s="216"/>
      <c r="M5" s="144"/>
    </row>
    <row r="6" spans="1:13" x14ac:dyDescent="0.3">
      <c r="A6" s="463" t="s">
        <v>91</v>
      </c>
      <c r="B6" s="464"/>
      <c r="C6" s="464"/>
      <c r="D6" s="464"/>
      <c r="E6" s="465"/>
      <c r="F6" s="149">
        <f>F16+F36+F45+F56+F70+F91+F115+F177+F193+F215+F261+F278+F298+F305+F327+F333+F385+F431+F396</f>
        <v>35874055.167384103</v>
      </c>
      <c r="G6" s="149"/>
      <c r="H6" s="149"/>
      <c r="I6" s="149"/>
      <c r="J6" s="143"/>
      <c r="K6" s="225"/>
      <c r="L6" s="216"/>
      <c r="M6" s="144"/>
    </row>
    <row r="7" spans="1:13" x14ac:dyDescent="0.3">
      <c r="A7" s="466" t="s">
        <v>65</v>
      </c>
      <c r="B7" s="467"/>
      <c r="C7" s="467"/>
      <c r="D7" s="467"/>
      <c r="E7" s="468"/>
      <c r="F7" s="246">
        <f>F26++F30+F31+F41+F82+F84+F85+F98+F99+F107+F109+F130+F133+F134+F135+F136+F137+F138+F159+F166+F182+F183+F184+F186+F189+F190+F206+F208+F210+F212+F221+F228+F236+F247+F257+F284+F288+F292+F295+F302+F312+F315+F317+F320+F322+F420+F421+F422+F423+F424+F425+F426+F427</f>
        <v>19673151</v>
      </c>
      <c r="G7" s="246">
        <f>G26++G30+G31+G41+G82+G84+G85+G98+G99+G107+G109+G130+G133+G134+G135+G136+G137+G138+G159+G166+G182+G183+G184+G186+G189+G190+G206+G208+G210+G212+G221+G228+G236+G247+G257+G284+G288+G292+G295+G302+G312+G315+G317+G320+G322+G420+G421+G422+G423+G424+G425+G426+G427</f>
        <v>19281408</v>
      </c>
      <c r="H7" s="246">
        <f>H26++H30+H31+H41+H82+H84+H85+H98+H99+H107+H109+H130+H133+H134+H135+H136+H137+H138+H159+H166+H182+H183+H184+H186+H189+H190+H206+H208+H210+H212+H221+H228+H236+H247+H257+H284+H288+H292+H295+H302+H312+H315+H317+H320+H322+H420+H421+H422+H423+H424+H425+H426+H427</f>
        <v>19708943</v>
      </c>
      <c r="I7" s="246">
        <f>I26++I30+I31+I41+I82+I84+I85+I98+I99+I107+I109+I130+I133+I134+I135+I136+I137+I138+I159+I166+I182+I183+I184+I186+I189+I190+I206+I208+I210+I212+I221+I228+I236+I247+I257+I284+I288+I292+I295+I302+I312+I315+I317+I320+I322+I420+I421+I422+I423+I424+I425+I426+I427</f>
        <v>19799446</v>
      </c>
      <c r="J7" s="236"/>
      <c r="K7" s="237"/>
      <c r="L7" s="238"/>
      <c r="M7" s="239"/>
    </row>
    <row r="8" spans="1:13" x14ac:dyDescent="0.3">
      <c r="A8" s="466" t="s">
        <v>66</v>
      </c>
      <c r="B8" s="467"/>
      <c r="C8" s="467"/>
      <c r="D8" s="467"/>
      <c r="E8" s="468"/>
      <c r="F8" s="246">
        <f>F21+F22+F23+F25+F27+F29+F32+F33+F42+F48+F50+F51+F52+F59+F60+F61+F62+F63+F64+F66+F67+F79+F83+F86+F100+F102+F105+F108+F110+F120+F121+F122+F123+F124+F125+F126+F127+F131+F139+F140+F141+F142+F143+F144+F145+F146+F152+F153+F154+F155+F156+F157+F160+F161+F162+F163+F167+F168+F169+F170+F171+F172+F181+F188+F198+F204+F207+F209+F211+F222+F229+F231+F237+F248+F249+F250+F251+F252+F253+F254+F255+F258+F266+F272+F273+F285+F289+F293+F311+F313+F314+F316+F318+F329+F330+F343+F346+F348+F351+F356+F357+F361+F362+F363+F365+F368+F381+F389+F390+F392+F402+F404+F405+F406+F407+F408+F409+F411+F413+F414+F415+F419</f>
        <v>20019481</v>
      </c>
      <c r="G8" s="246">
        <f>G21+G22+G23+G25+G27+G29+G32+G33+G42+G48+G50+G51+G52+G59+G60+G61+G62+G63+G64+G66+G67+G79+G83+G86+G100+G102+G105+G108+G110+G120+G121+G122+G123+G124+G125+G126+G127+G131+G139+G140+G141+G142+G143+G144+G145+G146+G152+G153+G154+G155+G156+G157+G160+G161+G162+G163+G167+G168+G169+G170+G171+G172+G181+G188+G198+G204+G207+G209+G211+G222+G229+G231+G237+G248+G249+G250+G251+G252+G253+G254+G255+G258+G266+G272+G273+G285+G289+G293+G311+G313+G314+G316+G318+G329+G330+G343+G346+G348+G351+G356+G357+G361+G362+G363+G365+G368+G381+G389+G390+G392+G402+G404+G405+G406+G407+G408+G409+G411+G413+G414+G415+G419</f>
        <v>17116864</v>
      </c>
      <c r="H8" s="246">
        <f>H21+H22+H23+H25+H27+H29+H32+H33+H42+H48+H50+H51+H52+H59+H60+H61+H62+H63+H64+H66+H67+H79+H83+H86+H100+H102+H105+H108+H110+H120+H121+H122+H123+H124+H125+H126+H127+H131+H139+H140+H141+H142+H143+H144+H145+H146+H152+H153+H154+H155+H156+H157+H160+H161+H162+H163+H167+H168+H169+H170+H171+H172+H181+H188+H198+H204+H207+H209+H211+H222+H229+H231+H237+H248+H249+H250+H251+H252+H253+H254+H255+H258+H266+H272+H273+H285+H289+H293+H311+H313+H314+H316+H318+H329+H330+H343+H346+H348+H351+H356+H357+H361+H362+H363+H365+H368+H381+H389+H390+H392+H402+H404+H405+H406+H407+H408+H409+H411+H413+H414+H415+H419</f>
        <v>16895694</v>
      </c>
      <c r="I8" s="246">
        <f>I21+I22+I23+I25+I27+I29+I32+I33+I42+I48+I50+I51+I52+I59+I60+I61+I62+I63+I64+I66+I67+I79+I83+I86+I100+I102+I105+I108+I110+I120+I121+I122+I123+I124+I125+I126+I127+I131+I139+I140+I141+I142+I143+I144+I145+I146+I152+I153+I154+I155+I156+I157+I160+I161+I162+I163+I167+I168+I169+I170+I171+I172+I181+I188+I198+I204+I207+I209+I211+I222+I229+I231+I237+I248+I249+I250+I251+I252+I253+I254+I255+I258+I266+I272+I273+I285+I289+I293+I311+I313+I314+I316+I318+I329+I330+I343+I346+I348+I351+I356+I357+I361+I362+I363+I365+I368+I381+I389+I390+I392+I402+I404+I405+I406+I407+I408+I409+I411+I413+I414+I415+I419</f>
        <v>16814791</v>
      </c>
      <c r="J8" s="236"/>
      <c r="K8" s="237"/>
      <c r="L8" s="238"/>
      <c r="M8" s="239"/>
    </row>
    <row r="9" spans="1:13" x14ac:dyDescent="0.3">
      <c r="A9" s="466" t="s">
        <v>67</v>
      </c>
      <c r="B9" s="467"/>
      <c r="C9" s="467"/>
      <c r="D9" s="467"/>
      <c r="E9" s="468"/>
      <c r="F9" s="246">
        <f>F28+F40+F49+F53+F78+F80+F97+F101+F103+F111+F112+F165+F205+F227+F234+F235+F239+F240+F244+F245+F246+F319+F323+F340+F271+F352+F360+F369+F393+F412+F416+F417+F418+F433+F434+F435</f>
        <v>22236692</v>
      </c>
      <c r="G9" s="246">
        <f>G28+G40+G49+G53+G78+G80+G97+G101+G103+G111+G112+G165+G205+G227+G234+G235+G239+G240+G244+G245+G246+G319+G323+G340+G271+G352+G360+G369+G393+G412+G416+G417+G418+G433+G434+G435</f>
        <v>26210539</v>
      </c>
      <c r="H9" s="246">
        <f>H28+H40+H49+H53+H78+H80+H97+H101+H103+H111+H112+H165+H205+H227+H234+H235+H239+H240+H244+H245+H246+H319+H323+H340+H271+H352+H360+H369+H393+H412+H416+H417+H418+H433+H434+H435</f>
        <v>26590424</v>
      </c>
      <c r="I9" s="246">
        <f>I28+I40+I49+I53+I78+I80+I97+I101+I103+I111+I112+I165+I205+I227+I234+I235+I239+I240+I244+I245+I246+I319+I323+I340+I271+I352+I360+I369+I393+I412+I416+I417+I418+I433+I434+I435</f>
        <v>26590424</v>
      </c>
      <c r="J9" s="236"/>
      <c r="K9" s="237"/>
      <c r="L9" s="238"/>
      <c r="M9" s="239"/>
    </row>
    <row r="10" spans="1:13" x14ac:dyDescent="0.3">
      <c r="A10" s="466" t="s">
        <v>68</v>
      </c>
      <c r="B10" s="467"/>
      <c r="C10" s="467"/>
      <c r="D10" s="467"/>
      <c r="E10" s="468"/>
      <c r="F10" s="246">
        <f>F24+F87+F104+F128+F129+F132+F147+F148+F149+F150+F151+F158+F164+F173+F174+F185+F187+F223+F230+F232+F238+F256+F267+F268+F286+F290+F294+F324+F344+F345+F347+F350+F375+F376+F377+F378+F379+F380+F403+F410</f>
        <v>19151516</v>
      </c>
      <c r="G10" s="246">
        <f>G24+G87+G104+G128+G129+G132+G147+G148+G149+G150+G151+G158+G164+G173+G174+G185+G187+G223+G230+G232+G238+G256+G267+G268+G286+G290+G294+G324+G344+G345+G347+G350+G375+G376+G377+G378+G379+G380+G403+G410</f>
        <v>13197820</v>
      </c>
      <c r="H10" s="246">
        <f>H24+H87+H104+H128+H129+H132+H147+H148+H149+H150+H151+H158+H164+H173+H174+H185+H187+H223+H230+H232+H238+H256+H267+H268+H286+H290+H294+H324+H344+H345+H347+H350+H375+H376+H377+H378+H379+H380+H403+H410</f>
        <v>13541351</v>
      </c>
      <c r="I10" s="246">
        <f>I24+I87+I104+I128+I129+I132+I147+I148+I149+I150+I151+I158+I164+I173+I174+I185+I187+I223+I230+I232+I238+I256+I267+I268+I286+I290+I294+I324+I344+I345+I347+I350+I375+I376+I377+I378+I379+I380+I403+I410</f>
        <v>13672372</v>
      </c>
      <c r="J10" s="236"/>
      <c r="K10" s="237"/>
      <c r="L10" s="238"/>
      <c r="M10" s="239"/>
    </row>
    <row r="11" spans="1:13" x14ac:dyDescent="0.3">
      <c r="A11" s="466" t="s">
        <v>69</v>
      </c>
      <c r="B11" s="467"/>
      <c r="C11" s="467"/>
      <c r="D11" s="467"/>
      <c r="E11" s="468"/>
      <c r="F11" s="246">
        <f>F88+F287+F301+F321+F349</f>
        <v>5514595</v>
      </c>
      <c r="G11" s="246">
        <f>G88+G287+G301+G321+G349</f>
        <v>7004111</v>
      </c>
      <c r="H11" s="246">
        <f>H88+H287+H301+H321+H349</f>
        <v>7004111</v>
      </c>
      <c r="I11" s="246">
        <f>I88+I287+I301+I321+I349</f>
        <v>7004111</v>
      </c>
      <c r="J11" s="236"/>
      <c r="K11" s="237"/>
      <c r="L11" s="238"/>
      <c r="M11" s="239"/>
    </row>
    <row r="12" spans="1:13" x14ac:dyDescent="0.3">
      <c r="A12" s="466" t="s">
        <v>70</v>
      </c>
      <c r="B12" s="467"/>
      <c r="C12" s="467"/>
      <c r="D12" s="467"/>
      <c r="E12" s="468"/>
      <c r="F12" s="246">
        <f>F65+F77+F81+F106+F199+F200+F201+F202+F203+F224+F225+F226+F233+F241+F242+F243+F291+F341+F342+F353+F354+F355+F358+F359+F366+F367+F370+F372+F374+F382+F391+F428</f>
        <v>9299005.5379999988</v>
      </c>
      <c r="G12" s="246">
        <f>G65+G77+G81+G106+G199+G200+G201+G202+G203+G224+G225+G226+G233+G241+G242+G243+G291+G341+G342+G353+G354+G355+G358+G359+G366+G367+G370+G372+G374+G382+G391+G428</f>
        <v>7930114.5379999997</v>
      </c>
      <c r="H12" s="246">
        <f>H65+H77+H81+H106+H199+H200+H201+H202+H203+H224+H225+H226+H233+H241+H242+H243+H291+H341+H342+H353+H354+H355+H358+H359+H366+H367+H370+H372+H374+H382+H391+H428</f>
        <v>7384916.5379999997</v>
      </c>
      <c r="I12" s="246">
        <f>I65+I77+I81+I106+I199+I200+I201+I202+I203+I224+I225+I226+I233+I241+I242+I243+I291+I341+I342+I353+I354+I355+I358+I359+I366+I367+I370+I372+I374+I382+I391+I428</f>
        <v>6942916.5379999997</v>
      </c>
      <c r="J12" s="236"/>
      <c r="K12" s="237"/>
      <c r="L12" s="238"/>
      <c r="M12" s="239"/>
    </row>
    <row r="13" spans="1:13" x14ac:dyDescent="0.3">
      <c r="A13" s="466" t="s">
        <v>71</v>
      </c>
      <c r="B13" s="467"/>
      <c r="C13" s="467"/>
      <c r="D13" s="467"/>
      <c r="E13" s="468"/>
      <c r="F13" s="246">
        <f>F269+F270+F364+F371+F373</f>
        <v>8231504</v>
      </c>
      <c r="G13" s="246">
        <f>G269+G270+G364+G371+G373</f>
        <v>8231504</v>
      </c>
      <c r="H13" s="246">
        <f>H269+H270+H364+H371+H373</f>
        <v>8231504</v>
      </c>
      <c r="I13" s="246">
        <f>I269+I270+I364+I371+I373</f>
        <v>8231504</v>
      </c>
      <c r="J13" s="236"/>
      <c r="K13" s="237"/>
      <c r="L13" s="238"/>
      <c r="M13" s="239"/>
    </row>
    <row r="14" spans="1:13" x14ac:dyDescent="0.3">
      <c r="A14" s="567" t="s">
        <v>92</v>
      </c>
      <c r="B14" s="568"/>
      <c r="C14" s="568"/>
      <c r="D14" s="568"/>
      <c r="E14" s="569"/>
      <c r="F14" s="245">
        <f>SUM(F21:F33)</f>
        <v>1271839</v>
      </c>
      <c r="G14" s="245">
        <f>SUM(G21:G33)</f>
        <v>1271839</v>
      </c>
      <c r="H14" s="245">
        <f t="shared" ref="H14:I14" si="0">SUM(H21:H33)</f>
        <v>1271839</v>
      </c>
      <c r="I14" s="245">
        <f t="shared" si="0"/>
        <v>1271839</v>
      </c>
      <c r="J14" s="143"/>
      <c r="K14" s="225"/>
      <c r="L14" s="216"/>
      <c r="M14" s="144"/>
    </row>
    <row r="15" spans="1:13" x14ac:dyDescent="0.3">
      <c r="A15" s="460" t="s">
        <v>93</v>
      </c>
      <c r="B15" s="461"/>
      <c r="C15" s="461"/>
      <c r="D15" s="461"/>
      <c r="E15" s="462"/>
      <c r="F15" s="40">
        <v>1271839</v>
      </c>
      <c r="G15" s="86"/>
      <c r="H15" s="86"/>
      <c r="I15" s="86"/>
      <c r="J15" s="143"/>
      <c r="K15" s="225"/>
      <c r="L15" s="216"/>
      <c r="M15" s="144"/>
    </row>
    <row r="16" spans="1:13" x14ac:dyDescent="0.3">
      <c r="A16" s="463" t="s">
        <v>94</v>
      </c>
      <c r="B16" s="464"/>
      <c r="C16" s="464"/>
      <c r="D16" s="464"/>
      <c r="E16" s="465"/>
      <c r="F16" s="42">
        <f>F15-F14</f>
        <v>0</v>
      </c>
      <c r="G16" s="87"/>
      <c r="H16" s="87"/>
      <c r="I16" s="87"/>
      <c r="J16" s="143"/>
      <c r="K16" s="225"/>
      <c r="L16" s="216"/>
      <c r="M16" s="144"/>
    </row>
    <row r="17" spans="1:13" ht="15" customHeight="1" x14ac:dyDescent="0.3">
      <c r="A17" s="475" t="s">
        <v>65</v>
      </c>
      <c r="B17" s="476"/>
      <c r="C17" s="476"/>
      <c r="D17" s="476"/>
      <c r="E17" s="477"/>
      <c r="F17" s="363">
        <f>F26+F30+F31</f>
        <v>535504</v>
      </c>
      <c r="G17" s="363">
        <f t="shared" ref="G17:I17" si="1">G26+G30+G31</f>
        <v>535504</v>
      </c>
      <c r="H17" s="363">
        <f t="shared" si="1"/>
        <v>535504</v>
      </c>
      <c r="I17" s="363">
        <f t="shared" si="1"/>
        <v>554609</v>
      </c>
      <c r="J17" s="367"/>
      <c r="K17" s="364"/>
      <c r="L17" s="365"/>
      <c r="M17" s="366"/>
    </row>
    <row r="18" spans="1:13" ht="15" customHeight="1" x14ac:dyDescent="0.3">
      <c r="A18" s="475" t="s">
        <v>66</v>
      </c>
      <c r="B18" s="476"/>
      <c r="C18" s="476"/>
      <c r="D18" s="476"/>
      <c r="E18" s="477"/>
      <c r="F18" s="363">
        <f>F21+F22+F23+F25+F27+F29+F32+F33</f>
        <v>719737</v>
      </c>
      <c r="G18" s="363">
        <f t="shared" ref="G18:I18" si="2">G21+G22+G23+G25+G27+G29+G32+G33</f>
        <v>614835</v>
      </c>
      <c r="H18" s="363">
        <f t="shared" si="2"/>
        <v>614835</v>
      </c>
      <c r="I18" s="363">
        <f t="shared" si="2"/>
        <v>545730</v>
      </c>
      <c r="J18" s="367"/>
      <c r="K18" s="364"/>
      <c r="L18" s="365"/>
      <c r="M18" s="366"/>
    </row>
    <row r="19" spans="1:13" ht="15" customHeight="1" x14ac:dyDescent="0.3">
      <c r="A19" s="475" t="s">
        <v>67</v>
      </c>
      <c r="B19" s="476"/>
      <c r="C19" s="476"/>
      <c r="D19" s="476"/>
      <c r="E19" s="477"/>
      <c r="F19" s="363">
        <f>F28</f>
        <v>0</v>
      </c>
      <c r="G19" s="363">
        <f t="shared" ref="G19:I19" si="3">G28</f>
        <v>100000</v>
      </c>
      <c r="H19" s="363">
        <f t="shared" si="3"/>
        <v>100000</v>
      </c>
      <c r="I19" s="363">
        <f t="shared" si="3"/>
        <v>100000</v>
      </c>
      <c r="J19" s="367"/>
      <c r="K19" s="364"/>
      <c r="L19" s="365"/>
      <c r="M19" s="366"/>
    </row>
    <row r="20" spans="1:13" ht="15" customHeight="1" x14ac:dyDescent="0.3">
      <c r="A20" s="475" t="s">
        <v>68</v>
      </c>
      <c r="B20" s="476"/>
      <c r="C20" s="476"/>
      <c r="D20" s="476"/>
      <c r="E20" s="477"/>
      <c r="F20" s="363">
        <f>F24</f>
        <v>16598</v>
      </c>
      <c r="G20" s="363">
        <f t="shared" ref="G20:I20" si="4">G24</f>
        <v>21500</v>
      </c>
      <c r="H20" s="363">
        <f t="shared" si="4"/>
        <v>21500</v>
      </c>
      <c r="I20" s="363">
        <f t="shared" si="4"/>
        <v>71500</v>
      </c>
      <c r="J20" s="367"/>
      <c r="K20" s="364"/>
      <c r="L20" s="365"/>
      <c r="M20" s="366"/>
    </row>
    <row r="21" spans="1:13" s="6" customFormat="1" ht="39" hidden="1" x14ac:dyDescent="0.35">
      <c r="A21" s="7">
        <v>1</v>
      </c>
      <c r="B21" s="21" t="s">
        <v>16</v>
      </c>
      <c r="C21" s="5" t="s">
        <v>95</v>
      </c>
      <c r="D21" s="5" t="s">
        <v>96</v>
      </c>
      <c r="E21" s="2" t="s">
        <v>66</v>
      </c>
      <c r="F21" s="85">
        <v>200582</v>
      </c>
      <c r="G21" s="85">
        <v>200582</v>
      </c>
      <c r="H21" s="85">
        <v>200582</v>
      </c>
      <c r="I21" s="85">
        <v>210582</v>
      </c>
      <c r="J21" s="10"/>
      <c r="K21" s="308">
        <v>200582</v>
      </c>
      <c r="L21" s="309">
        <f t="shared" ref="L21:L33" si="5">F21/K21</f>
        <v>1</v>
      </c>
      <c r="M21" s="211" t="s">
        <v>97</v>
      </c>
    </row>
    <row r="22" spans="1:13" s="6" customFormat="1" ht="78" hidden="1" x14ac:dyDescent="0.35">
      <c r="A22" s="7">
        <v>2</v>
      </c>
      <c r="B22" s="21" t="s">
        <v>16</v>
      </c>
      <c r="C22" s="5" t="s">
        <v>98</v>
      </c>
      <c r="D22" s="5" t="s">
        <v>96</v>
      </c>
      <c r="E22" s="2" t="s">
        <v>66</v>
      </c>
      <c r="F22" s="85">
        <v>55000</v>
      </c>
      <c r="G22" s="85">
        <v>55000</v>
      </c>
      <c r="H22" s="85">
        <v>55000</v>
      </c>
      <c r="I22" s="85">
        <v>60000</v>
      </c>
      <c r="J22" s="10"/>
      <c r="K22" s="308">
        <v>135000</v>
      </c>
      <c r="L22" s="309">
        <f t="shared" si="5"/>
        <v>0.40740740740740738</v>
      </c>
      <c r="M22" s="211" t="s">
        <v>963</v>
      </c>
    </row>
    <row r="23" spans="1:13" s="6" customFormat="1" ht="39" hidden="1" x14ac:dyDescent="0.35">
      <c r="A23" s="7">
        <v>3</v>
      </c>
      <c r="B23" s="21" t="s">
        <v>16</v>
      </c>
      <c r="C23" s="5" t="s">
        <v>98</v>
      </c>
      <c r="D23" s="5" t="s">
        <v>96</v>
      </c>
      <c r="E23" s="2" t="s">
        <v>66</v>
      </c>
      <c r="F23" s="85">
        <v>57000</v>
      </c>
      <c r="G23" s="19">
        <v>0</v>
      </c>
      <c r="H23" s="19">
        <v>0</v>
      </c>
      <c r="I23" s="19">
        <v>0</v>
      </c>
      <c r="J23" s="5" t="s">
        <v>99</v>
      </c>
      <c r="K23" s="310">
        <v>57000</v>
      </c>
      <c r="L23" s="311">
        <f t="shared" si="5"/>
        <v>1</v>
      </c>
      <c r="M23" s="211" t="s">
        <v>100</v>
      </c>
    </row>
    <row r="24" spans="1:13" s="6" customFormat="1" ht="39" hidden="1" x14ac:dyDescent="0.35">
      <c r="A24" s="7">
        <v>4</v>
      </c>
      <c r="B24" s="21" t="s">
        <v>16</v>
      </c>
      <c r="C24" s="5" t="s">
        <v>101</v>
      </c>
      <c r="D24" s="5" t="s">
        <v>96</v>
      </c>
      <c r="E24" s="2" t="s">
        <v>68</v>
      </c>
      <c r="F24" s="19">
        <v>16598</v>
      </c>
      <c r="G24" s="19">
        <v>21500</v>
      </c>
      <c r="H24" s="19">
        <v>21500</v>
      </c>
      <c r="I24" s="19">
        <v>71500</v>
      </c>
      <c r="J24" s="5" t="s">
        <v>99</v>
      </c>
      <c r="K24" s="310">
        <v>193000</v>
      </c>
      <c r="L24" s="311">
        <f t="shared" si="5"/>
        <v>8.5999999999999993E-2</v>
      </c>
      <c r="M24" s="211" t="s">
        <v>102</v>
      </c>
    </row>
    <row r="25" spans="1:13" s="6" customFormat="1" ht="91" hidden="1" x14ac:dyDescent="0.35">
      <c r="A25" s="7">
        <v>5</v>
      </c>
      <c r="B25" s="21" t="s">
        <v>16</v>
      </c>
      <c r="C25" s="5" t="s">
        <v>103</v>
      </c>
      <c r="D25" s="5" t="s">
        <v>96</v>
      </c>
      <c r="E25" s="2" t="s">
        <v>66</v>
      </c>
      <c r="F25" s="85">
        <v>19945</v>
      </c>
      <c r="G25" s="19">
        <v>116275</v>
      </c>
      <c r="H25" s="19">
        <v>119846</v>
      </c>
      <c r="I25" s="19">
        <v>141051</v>
      </c>
      <c r="J25" s="5" t="s">
        <v>104</v>
      </c>
      <c r="K25" s="310">
        <v>325500</v>
      </c>
      <c r="L25" s="311">
        <f t="shared" si="5"/>
        <v>6.1274961597542241E-2</v>
      </c>
      <c r="M25" s="211" t="s">
        <v>965</v>
      </c>
    </row>
    <row r="26" spans="1:13" s="6" customFormat="1" ht="39" hidden="1" x14ac:dyDescent="0.35">
      <c r="A26" s="7">
        <v>6</v>
      </c>
      <c r="B26" s="21" t="s">
        <v>16</v>
      </c>
      <c r="C26" s="5" t="s">
        <v>105</v>
      </c>
      <c r="D26" s="5" t="s">
        <v>96</v>
      </c>
      <c r="E26" s="5" t="s">
        <v>65</v>
      </c>
      <c r="F26" s="85">
        <v>50000</v>
      </c>
      <c r="G26" s="19">
        <v>50000</v>
      </c>
      <c r="H26" s="19">
        <v>50000</v>
      </c>
      <c r="I26" s="19">
        <v>50000</v>
      </c>
      <c r="J26" s="5" t="s">
        <v>104</v>
      </c>
      <c r="K26" s="310">
        <v>103736</v>
      </c>
      <c r="L26" s="311">
        <f t="shared" si="5"/>
        <v>0.48199275082902754</v>
      </c>
      <c r="M26" s="211" t="s">
        <v>966</v>
      </c>
    </row>
    <row r="27" spans="1:13" s="6" customFormat="1" ht="39" hidden="1" x14ac:dyDescent="0.35">
      <c r="A27" s="7">
        <v>7</v>
      </c>
      <c r="B27" s="21" t="s">
        <v>16</v>
      </c>
      <c r="C27" s="5" t="s">
        <v>106</v>
      </c>
      <c r="D27" s="5" t="s">
        <v>96</v>
      </c>
      <c r="E27" s="2" t="s">
        <v>66</v>
      </c>
      <c r="F27" s="85">
        <v>40000</v>
      </c>
      <c r="G27" s="85">
        <v>40000</v>
      </c>
      <c r="H27" s="85">
        <v>40000</v>
      </c>
      <c r="I27" s="85">
        <v>50000</v>
      </c>
      <c r="J27" s="10"/>
      <c r="K27" s="308">
        <v>148378</v>
      </c>
      <c r="L27" s="309">
        <f t="shared" si="5"/>
        <v>0.26958174392430145</v>
      </c>
      <c r="M27" s="211" t="s">
        <v>107</v>
      </c>
    </row>
    <row r="28" spans="1:13" s="6" customFormat="1" ht="52" hidden="1" x14ac:dyDescent="0.35">
      <c r="A28" s="7">
        <v>8</v>
      </c>
      <c r="B28" s="21" t="s">
        <v>16</v>
      </c>
      <c r="C28" s="5" t="s">
        <v>108</v>
      </c>
      <c r="D28" s="5" t="s">
        <v>96</v>
      </c>
      <c r="E28" s="2" t="s">
        <v>67</v>
      </c>
      <c r="F28" s="85">
        <v>0</v>
      </c>
      <c r="G28" s="85">
        <v>100000</v>
      </c>
      <c r="H28" s="85">
        <v>100000</v>
      </c>
      <c r="I28" s="85">
        <v>100000</v>
      </c>
      <c r="J28" s="5" t="s">
        <v>109</v>
      </c>
      <c r="K28" s="308">
        <v>200000</v>
      </c>
      <c r="L28" s="309">
        <f t="shared" si="5"/>
        <v>0</v>
      </c>
      <c r="M28" s="211" t="s">
        <v>110</v>
      </c>
    </row>
    <row r="29" spans="1:13" s="6" customFormat="1" ht="65" hidden="1" x14ac:dyDescent="0.35">
      <c r="A29" s="7">
        <v>9</v>
      </c>
      <c r="B29" s="21" t="s">
        <v>16</v>
      </c>
      <c r="C29" s="5" t="s">
        <v>111</v>
      </c>
      <c r="D29" s="5" t="s">
        <v>96</v>
      </c>
      <c r="E29" s="2" t="s">
        <v>66</v>
      </c>
      <c r="F29" s="85">
        <v>268113</v>
      </c>
      <c r="G29" s="85">
        <v>123881</v>
      </c>
      <c r="H29" s="85">
        <v>120310</v>
      </c>
      <c r="I29" s="19">
        <v>0</v>
      </c>
      <c r="J29" s="10"/>
      <c r="K29" s="308">
        <v>515901</v>
      </c>
      <c r="L29" s="309">
        <f t="shared" si="5"/>
        <v>0.51969854681421435</v>
      </c>
      <c r="M29" s="211" t="s">
        <v>964</v>
      </c>
    </row>
    <row r="30" spans="1:13" s="6" customFormat="1" ht="39" hidden="1" x14ac:dyDescent="0.35">
      <c r="A30" s="7">
        <v>10</v>
      </c>
      <c r="B30" s="103" t="s">
        <v>16</v>
      </c>
      <c r="C30" s="45" t="s">
        <v>105</v>
      </c>
      <c r="D30" s="45" t="s">
        <v>96</v>
      </c>
      <c r="E30" s="45" t="s">
        <v>65</v>
      </c>
      <c r="F30" s="300">
        <v>177775</v>
      </c>
      <c r="G30" s="301">
        <v>177775</v>
      </c>
      <c r="H30" s="301">
        <v>177775</v>
      </c>
      <c r="I30" s="301">
        <v>177775</v>
      </c>
      <c r="J30" s="104"/>
      <c r="K30" s="308">
        <v>177775</v>
      </c>
      <c r="L30" s="309">
        <f t="shared" si="5"/>
        <v>1</v>
      </c>
      <c r="M30" s="307" t="s">
        <v>112</v>
      </c>
    </row>
    <row r="31" spans="1:13" s="6" customFormat="1" ht="39" hidden="1" x14ac:dyDescent="0.35">
      <c r="A31" s="7">
        <v>11</v>
      </c>
      <c r="B31" s="103" t="s">
        <v>16</v>
      </c>
      <c r="C31" s="45" t="s">
        <v>105</v>
      </c>
      <c r="D31" s="45" t="s">
        <v>96</v>
      </c>
      <c r="E31" s="45" t="s">
        <v>65</v>
      </c>
      <c r="F31" s="300">
        <v>307729</v>
      </c>
      <c r="G31" s="300">
        <v>307729</v>
      </c>
      <c r="H31" s="300">
        <v>307729</v>
      </c>
      <c r="I31" s="300">
        <v>326834</v>
      </c>
      <c r="J31" s="104"/>
      <c r="K31" s="308">
        <v>307729</v>
      </c>
      <c r="L31" s="312">
        <f>F31/K31</f>
        <v>1</v>
      </c>
      <c r="M31" s="307" t="s">
        <v>968</v>
      </c>
    </row>
    <row r="32" spans="1:13" s="6" customFormat="1" ht="39" hidden="1" x14ac:dyDescent="0.35">
      <c r="A32" s="7">
        <v>12</v>
      </c>
      <c r="B32" s="103" t="s">
        <v>16</v>
      </c>
      <c r="C32" s="45" t="s">
        <v>967</v>
      </c>
      <c r="D32" s="45" t="s">
        <v>96</v>
      </c>
      <c r="E32" s="2" t="s">
        <v>66</v>
      </c>
      <c r="F32" s="300">
        <v>20000</v>
      </c>
      <c r="G32" s="300">
        <v>20000</v>
      </c>
      <c r="H32" s="300">
        <v>20000</v>
      </c>
      <c r="I32" s="300">
        <v>25000</v>
      </c>
      <c r="J32" s="104"/>
      <c r="K32" s="308">
        <v>256740</v>
      </c>
      <c r="L32" s="312">
        <f>F32/K32</f>
        <v>7.7899820830412095E-2</v>
      </c>
      <c r="M32" s="307" t="s">
        <v>969</v>
      </c>
    </row>
    <row r="33" spans="1:13" s="6" customFormat="1" ht="26" hidden="1" x14ac:dyDescent="0.35">
      <c r="A33" s="7">
        <v>13</v>
      </c>
      <c r="B33" s="21" t="s">
        <v>16</v>
      </c>
      <c r="C33" s="5" t="s">
        <v>103</v>
      </c>
      <c r="D33" s="5" t="s">
        <v>113</v>
      </c>
      <c r="E33" s="2" t="s">
        <v>66</v>
      </c>
      <c r="F33" s="85">
        <v>59097</v>
      </c>
      <c r="G33" s="85">
        <v>59097</v>
      </c>
      <c r="H33" s="85">
        <v>59097</v>
      </c>
      <c r="I33" s="85">
        <v>59097</v>
      </c>
      <c r="J33" s="5" t="s">
        <v>104</v>
      </c>
      <c r="K33" s="310">
        <v>248693</v>
      </c>
      <c r="L33" s="311">
        <f t="shared" si="5"/>
        <v>0.23763033137241499</v>
      </c>
      <c r="M33" s="211" t="s">
        <v>114</v>
      </c>
    </row>
    <row r="34" spans="1:13" ht="23.25" customHeight="1" x14ac:dyDescent="0.3">
      <c r="A34" s="478" t="s">
        <v>115</v>
      </c>
      <c r="B34" s="479"/>
      <c r="C34" s="479"/>
      <c r="D34" s="479"/>
      <c r="E34" s="480"/>
      <c r="F34" s="328">
        <f>SUM(F40:F42)</f>
        <v>1276469</v>
      </c>
      <c r="G34" s="328">
        <f t="shared" ref="G34:I34" si="6">SUM(G40:G42)</f>
        <v>1656353</v>
      </c>
      <c r="H34" s="328">
        <f t="shared" si="6"/>
        <v>2036238</v>
      </c>
      <c r="I34" s="328">
        <f t="shared" si="6"/>
        <v>2036238</v>
      </c>
      <c r="J34" s="141"/>
      <c r="K34" s="226"/>
      <c r="L34" s="220"/>
      <c r="M34" s="142"/>
    </row>
    <row r="35" spans="1:13" x14ac:dyDescent="0.3">
      <c r="A35" s="460" t="s">
        <v>116</v>
      </c>
      <c r="B35" s="461"/>
      <c r="C35" s="461"/>
      <c r="D35" s="461"/>
      <c r="E35" s="462"/>
      <c r="F35" s="40">
        <v>1491518</v>
      </c>
      <c r="G35" s="40"/>
      <c r="H35" s="86"/>
      <c r="I35" s="86"/>
      <c r="J35" s="143"/>
      <c r="K35" s="227"/>
      <c r="L35" s="221"/>
      <c r="M35" s="144"/>
    </row>
    <row r="36" spans="1:13" x14ac:dyDescent="0.3">
      <c r="A36" s="463" t="s">
        <v>117</v>
      </c>
      <c r="B36" s="464"/>
      <c r="C36" s="464"/>
      <c r="D36" s="464"/>
      <c r="E36" s="465"/>
      <c r="F36" s="42">
        <f>F35-F34</f>
        <v>215049</v>
      </c>
      <c r="G36" s="87"/>
      <c r="H36" s="87"/>
      <c r="I36" s="87"/>
      <c r="J36" s="143"/>
      <c r="K36" s="227"/>
      <c r="L36" s="221"/>
      <c r="M36" s="144"/>
    </row>
    <row r="37" spans="1:13" x14ac:dyDescent="0.3">
      <c r="A37" s="475" t="s">
        <v>65</v>
      </c>
      <c r="B37" s="476"/>
      <c r="C37" s="476"/>
      <c r="D37" s="476"/>
      <c r="E37" s="477"/>
      <c r="F37" s="363">
        <f>F41</f>
        <v>502000</v>
      </c>
      <c r="G37" s="363">
        <f t="shared" ref="G37:I37" si="7">G41</f>
        <v>502000</v>
      </c>
      <c r="H37" s="363">
        <f t="shared" si="7"/>
        <v>502000</v>
      </c>
      <c r="I37" s="363">
        <f t="shared" si="7"/>
        <v>502000</v>
      </c>
      <c r="J37" s="327"/>
      <c r="K37" s="368"/>
      <c r="L37" s="369"/>
      <c r="M37" s="366"/>
    </row>
    <row r="38" spans="1:13" x14ac:dyDescent="0.3">
      <c r="A38" s="475" t="s">
        <v>66</v>
      </c>
      <c r="B38" s="476"/>
      <c r="C38" s="476"/>
      <c r="D38" s="476"/>
      <c r="E38" s="477"/>
      <c r="F38" s="363">
        <f>F42</f>
        <v>14700</v>
      </c>
      <c r="G38" s="363">
        <f t="shared" ref="G38:I38" si="8">G42</f>
        <v>14700</v>
      </c>
      <c r="H38" s="363">
        <f t="shared" si="8"/>
        <v>14700</v>
      </c>
      <c r="I38" s="363">
        <f t="shared" si="8"/>
        <v>14700</v>
      </c>
      <c r="J38" s="327"/>
      <c r="K38" s="368"/>
      <c r="L38" s="369"/>
      <c r="M38" s="366"/>
    </row>
    <row r="39" spans="1:13" x14ac:dyDescent="0.3">
      <c r="A39" s="475" t="s">
        <v>67</v>
      </c>
      <c r="B39" s="476"/>
      <c r="C39" s="476"/>
      <c r="D39" s="476"/>
      <c r="E39" s="477"/>
      <c r="F39" s="363">
        <f>F40</f>
        <v>759769</v>
      </c>
      <c r="G39" s="363">
        <f t="shared" ref="G39:I39" si="9">G40</f>
        <v>1139653</v>
      </c>
      <c r="H39" s="363">
        <f t="shared" si="9"/>
        <v>1519538</v>
      </c>
      <c r="I39" s="363">
        <f t="shared" si="9"/>
        <v>1519538</v>
      </c>
      <c r="J39" s="327"/>
      <c r="K39" s="368"/>
      <c r="L39" s="369"/>
      <c r="M39" s="366"/>
    </row>
    <row r="40" spans="1:13" s="6" customFormat="1" ht="132.75" hidden="1" customHeight="1" x14ac:dyDescent="0.35">
      <c r="A40" s="7">
        <v>1</v>
      </c>
      <c r="B40" s="266" t="s">
        <v>17</v>
      </c>
      <c r="C40" s="271" t="s">
        <v>118</v>
      </c>
      <c r="D40" s="267" t="s">
        <v>119</v>
      </c>
      <c r="E40" s="2" t="s">
        <v>67</v>
      </c>
      <c r="F40" s="302">
        <v>759769</v>
      </c>
      <c r="G40" s="302">
        <v>1139653</v>
      </c>
      <c r="H40" s="302">
        <v>1519538</v>
      </c>
      <c r="I40" s="302">
        <v>1519538</v>
      </c>
      <c r="J40" s="5" t="s">
        <v>120</v>
      </c>
      <c r="K40" s="268">
        <v>7407748</v>
      </c>
      <c r="L40" s="218">
        <f>F40/K40</f>
        <v>0.10256409910272325</v>
      </c>
      <c r="M40" s="10"/>
    </row>
    <row r="41" spans="1:13" s="6" customFormat="1" ht="84.75" hidden="1" customHeight="1" x14ac:dyDescent="0.35">
      <c r="A41" s="486">
        <v>2</v>
      </c>
      <c r="B41" s="487" t="s">
        <v>17</v>
      </c>
      <c r="C41" s="488" t="s">
        <v>121</v>
      </c>
      <c r="D41" s="488" t="s">
        <v>119</v>
      </c>
      <c r="E41" s="208" t="s">
        <v>65</v>
      </c>
      <c r="F41" s="303">
        <v>502000</v>
      </c>
      <c r="G41" s="303">
        <v>502000</v>
      </c>
      <c r="H41" s="303">
        <v>502000</v>
      </c>
      <c r="I41" s="303">
        <v>502000</v>
      </c>
      <c r="J41" s="232"/>
      <c r="K41" s="329">
        <v>8080775</v>
      </c>
      <c r="L41" s="309">
        <f>F41/K41</f>
        <v>6.212275431502548E-2</v>
      </c>
      <c r="M41" s="230" t="s">
        <v>122</v>
      </c>
    </row>
    <row r="42" spans="1:13" s="6" customFormat="1" ht="84.75" hidden="1" customHeight="1" x14ac:dyDescent="0.35">
      <c r="A42" s="486"/>
      <c r="B42" s="487"/>
      <c r="C42" s="488"/>
      <c r="D42" s="488"/>
      <c r="E42" s="208" t="s">
        <v>123</v>
      </c>
      <c r="F42" s="303">
        <v>14700</v>
      </c>
      <c r="G42" s="303">
        <v>14700</v>
      </c>
      <c r="H42" s="303">
        <v>14700</v>
      </c>
      <c r="I42" s="303">
        <v>14700</v>
      </c>
      <c r="J42" s="233"/>
      <c r="K42" s="308">
        <v>1726185</v>
      </c>
      <c r="L42" s="309">
        <f>F42/K42</f>
        <v>8.5158890848895108E-3</v>
      </c>
      <c r="M42" s="10"/>
    </row>
    <row r="43" spans="1:13" x14ac:dyDescent="0.3">
      <c r="A43" s="481" t="s">
        <v>124</v>
      </c>
      <c r="B43" s="482"/>
      <c r="C43" s="482"/>
      <c r="D43" s="482"/>
      <c r="E43" s="483"/>
      <c r="F43" s="231">
        <f>SUM(F48:F53)</f>
        <v>223898</v>
      </c>
      <c r="G43" s="231">
        <f t="shared" ref="G43:I43" si="10">SUM(G48:G53)</f>
        <v>223898</v>
      </c>
      <c r="H43" s="231">
        <f t="shared" si="10"/>
        <v>223898</v>
      </c>
      <c r="I43" s="231">
        <f t="shared" si="10"/>
        <v>223898</v>
      </c>
      <c r="J43" s="141"/>
      <c r="K43" s="224"/>
      <c r="L43" s="217"/>
      <c r="M43" s="142"/>
    </row>
    <row r="44" spans="1:13" x14ac:dyDescent="0.3">
      <c r="A44" s="460" t="s">
        <v>125</v>
      </c>
      <c r="B44" s="461"/>
      <c r="C44" s="461"/>
      <c r="D44" s="461"/>
      <c r="E44" s="462"/>
      <c r="F44" s="40">
        <v>447794.85017662996</v>
      </c>
      <c r="G44" s="86"/>
      <c r="H44" s="86"/>
      <c r="I44" s="86"/>
      <c r="J44" s="143"/>
      <c r="K44" s="227"/>
      <c r="L44" s="221"/>
      <c r="M44" s="144"/>
    </row>
    <row r="45" spans="1:13" x14ac:dyDescent="0.3">
      <c r="A45" s="463" t="s">
        <v>126</v>
      </c>
      <c r="B45" s="464"/>
      <c r="C45" s="464"/>
      <c r="D45" s="464"/>
      <c r="E45" s="465"/>
      <c r="F45" s="42">
        <f>F44-F43</f>
        <v>223896.85017662996</v>
      </c>
      <c r="G45" s="87"/>
      <c r="H45" s="87"/>
      <c r="I45" s="87"/>
      <c r="J45" s="143"/>
      <c r="K45" s="227"/>
      <c r="L45" s="221"/>
      <c r="M45" s="144"/>
    </row>
    <row r="46" spans="1:13" x14ac:dyDescent="0.3">
      <c r="A46" s="475" t="s">
        <v>66</v>
      </c>
      <c r="B46" s="476"/>
      <c r="C46" s="476"/>
      <c r="D46" s="476"/>
      <c r="E46" s="477"/>
      <c r="F46" s="363">
        <f>F48+F50+F51+F52</f>
        <v>70674</v>
      </c>
      <c r="G46" s="363">
        <f t="shared" ref="G46:I46" si="11">G48+G50+G51+G52</f>
        <v>21426</v>
      </c>
      <c r="H46" s="363">
        <f t="shared" si="11"/>
        <v>21426</v>
      </c>
      <c r="I46" s="363">
        <f t="shared" si="11"/>
        <v>21426</v>
      </c>
      <c r="J46" s="327"/>
      <c r="K46" s="368"/>
      <c r="L46" s="369"/>
      <c r="M46" s="366"/>
    </row>
    <row r="47" spans="1:13" x14ac:dyDescent="0.3">
      <c r="A47" s="475" t="s">
        <v>67</v>
      </c>
      <c r="B47" s="476"/>
      <c r="C47" s="476"/>
      <c r="D47" s="476"/>
      <c r="E47" s="477"/>
      <c r="F47" s="363">
        <f>F49+F53</f>
        <v>153224</v>
      </c>
      <c r="G47" s="363">
        <f t="shared" ref="G47:I47" si="12">G49+G53</f>
        <v>202472</v>
      </c>
      <c r="H47" s="363">
        <f t="shared" si="12"/>
        <v>202472</v>
      </c>
      <c r="I47" s="363">
        <f t="shared" si="12"/>
        <v>202472</v>
      </c>
      <c r="J47" s="327"/>
      <c r="K47" s="368"/>
      <c r="L47" s="369"/>
      <c r="M47" s="366"/>
    </row>
    <row r="48" spans="1:13" s="6" customFormat="1" ht="72.75" hidden="1" customHeight="1" x14ac:dyDescent="0.35">
      <c r="A48" s="235">
        <v>1</v>
      </c>
      <c r="B48" s="103" t="s">
        <v>19</v>
      </c>
      <c r="C48" s="295" t="s">
        <v>127</v>
      </c>
      <c r="D48" s="296" t="s">
        <v>128</v>
      </c>
      <c r="E48" s="296" t="s">
        <v>123</v>
      </c>
      <c r="F48" s="85">
        <v>18000</v>
      </c>
      <c r="G48" s="19">
        <v>18000</v>
      </c>
      <c r="H48" s="19">
        <v>18000</v>
      </c>
      <c r="I48" s="19">
        <v>18000</v>
      </c>
      <c r="J48" s="10"/>
      <c r="K48" s="308">
        <v>716559</v>
      </c>
      <c r="L48" s="309">
        <f>F48/K48</f>
        <v>2.512005291957815E-2</v>
      </c>
      <c r="M48" s="295" t="s">
        <v>129</v>
      </c>
    </row>
    <row r="49" spans="1:13" s="6" customFormat="1" ht="35.25" hidden="1" customHeight="1" x14ac:dyDescent="0.35">
      <c r="A49" s="255">
        <v>2</v>
      </c>
      <c r="B49" s="103" t="s">
        <v>19</v>
      </c>
      <c r="C49" s="297" t="s">
        <v>130</v>
      </c>
      <c r="D49" s="298" t="s">
        <v>131</v>
      </c>
      <c r="E49" s="298" t="s">
        <v>67</v>
      </c>
      <c r="F49" s="85">
        <v>153224</v>
      </c>
      <c r="G49" s="19">
        <v>226574</v>
      </c>
      <c r="H49" s="19">
        <v>226574</v>
      </c>
      <c r="I49" s="19">
        <v>226574</v>
      </c>
      <c r="J49" s="132"/>
      <c r="K49" s="484">
        <v>500000</v>
      </c>
      <c r="L49" s="489">
        <f>F49/K49</f>
        <v>0.306448</v>
      </c>
      <c r="M49" s="297" t="s">
        <v>132</v>
      </c>
    </row>
    <row r="50" spans="1:13" s="6" customFormat="1" ht="35.25" hidden="1" customHeight="1" x14ac:dyDescent="0.35">
      <c r="A50" s="255">
        <v>3</v>
      </c>
      <c r="B50" s="103" t="s">
        <v>19</v>
      </c>
      <c r="C50" s="297" t="s">
        <v>130</v>
      </c>
      <c r="D50" s="298" t="s">
        <v>131</v>
      </c>
      <c r="E50" s="298" t="s">
        <v>123</v>
      </c>
      <c r="F50" s="85">
        <v>0</v>
      </c>
      <c r="G50" s="19">
        <v>3426</v>
      </c>
      <c r="H50" s="19">
        <v>3426</v>
      </c>
      <c r="I50" s="19">
        <v>3426</v>
      </c>
      <c r="J50" s="132"/>
      <c r="K50" s="485"/>
      <c r="L50" s="490"/>
      <c r="M50" s="297" t="s">
        <v>134</v>
      </c>
    </row>
    <row r="51" spans="1:13" s="6" customFormat="1" ht="35.25" hidden="1" customHeight="1" x14ac:dyDescent="0.35">
      <c r="A51" s="255">
        <v>4</v>
      </c>
      <c r="B51" s="103" t="s">
        <v>19</v>
      </c>
      <c r="C51" s="299" t="s">
        <v>135</v>
      </c>
      <c r="D51" s="298" t="s">
        <v>136</v>
      </c>
      <c r="E51" s="298" t="s">
        <v>123</v>
      </c>
      <c r="F51" s="85">
        <v>21848</v>
      </c>
      <c r="G51" s="19">
        <v>0</v>
      </c>
      <c r="H51" s="19">
        <v>0</v>
      </c>
      <c r="I51" s="19">
        <v>0</v>
      </c>
      <c r="J51" s="132"/>
      <c r="K51" s="484">
        <v>3930521</v>
      </c>
      <c r="L51" s="489">
        <f>(F51+F52)/K51</f>
        <v>1.3401276828186391E-2</v>
      </c>
      <c r="M51" s="297" t="s">
        <v>137</v>
      </c>
    </row>
    <row r="52" spans="1:13" s="6" customFormat="1" ht="35.25" hidden="1" customHeight="1" x14ac:dyDescent="0.35">
      <c r="A52" s="255">
        <v>5</v>
      </c>
      <c r="B52" s="103" t="s">
        <v>19</v>
      </c>
      <c r="C52" s="297" t="s">
        <v>138</v>
      </c>
      <c r="D52" s="298" t="s">
        <v>136</v>
      </c>
      <c r="E52" s="298" t="s">
        <v>123</v>
      </c>
      <c r="F52" s="85">
        <v>30826</v>
      </c>
      <c r="G52" s="19">
        <v>0</v>
      </c>
      <c r="H52" s="19">
        <v>0</v>
      </c>
      <c r="I52" s="19">
        <v>0</v>
      </c>
      <c r="J52" s="132"/>
      <c r="K52" s="491"/>
      <c r="L52" s="492"/>
      <c r="M52" s="297" t="s">
        <v>139</v>
      </c>
    </row>
    <row r="53" spans="1:13" s="6" customFormat="1" ht="39.75" hidden="1" customHeight="1" x14ac:dyDescent="0.35">
      <c r="A53" s="255">
        <v>6</v>
      </c>
      <c r="B53" s="103" t="s">
        <v>19</v>
      </c>
      <c r="C53" s="297" t="s">
        <v>140</v>
      </c>
      <c r="D53" s="298" t="s">
        <v>136</v>
      </c>
      <c r="E53" s="298" t="s">
        <v>67</v>
      </c>
      <c r="F53" s="85">
        <v>0</v>
      </c>
      <c r="G53" s="19">
        <v>-24102</v>
      </c>
      <c r="H53" s="19">
        <v>-24102</v>
      </c>
      <c r="I53" s="19">
        <v>-24102</v>
      </c>
      <c r="J53" s="132"/>
      <c r="K53" s="485"/>
      <c r="L53" s="490"/>
      <c r="M53" s="297" t="s">
        <v>141</v>
      </c>
    </row>
    <row r="54" spans="1:13" x14ac:dyDescent="0.3">
      <c r="A54" s="481" t="s">
        <v>142</v>
      </c>
      <c r="B54" s="482"/>
      <c r="C54" s="482"/>
      <c r="D54" s="482"/>
      <c r="E54" s="483"/>
      <c r="F54" s="39">
        <f>SUM(F59:F67)</f>
        <v>439199</v>
      </c>
      <c r="G54" s="39">
        <f t="shared" ref="G54:I54" si="13">SUM(G59:G67)</f>
        <v>439199</v>
      </c>
      <c r="H54" s="39">
        <f t="shared" si="13"/>
        <v>439199</v>
      </c>
      <c r="I54" s="39">
        <f t="shared" si="13"/>
        <v>439199</v>
      </c>
      <c r="J54" s="141"/>
      <c r="K54" s="226"/>
      <c r="L54" s="220"/>
      <c r="M54" s="142"/>
    </row>
    <row r="55" spans="1:13" x14ac:dyDescent="0.3">
      <c r="A55" s="460" t="s">
        <v>143</v>
      </c>
      <c r="B55" s="461"/>
      <c r="C55" s="461"/>
      <c r="D55" s="461"/>
      <c r="E55" s="462"/>
      <c r="F55" s="40">
        <v>439199</v>
      </c>
      <c r="G55" s="86"/>
      <c r="H55" s="86"/>
      <c r="I55" s="86"/>
      <c r="J55" s="143"/>
      <c r="K55" s="227"/>
      <c r="L55" s="221"/>
      <c r="M55" s="144"/>
    </row>
    <row r="56" spans="1:13" x14ac:dyDescent="0.3">
      <c r="A56" s="463" t="s">
        <v>144</v>
      </c>
      <c r="B56" s="464"/>
      <c r="C56" s="464"/>
      <c r="D56" s="464"/>
      <c r="E56" s="465"/>
      <c r="F56" s="42">
        <f>F55-F54</f>
        <v>0</v>
      </c>
      <c r="G56" s="87"/>
      <c r="H56" s="87"/>
      <c r="I56" s="87"/>
      <c r="J56" s="143"/>
      <c r="K56" s="227"/>
      <c r="L56" s="221"/>
      <c r="M56" s="144"/>
    </row>
    <row r="57" spans="1:13" x14ac:dyDescent="0.3">
      <c r="A57" s="475" t="s">
        <v>66</v>
      </c>
      <c r="B57" s="476"/>
      <c r="C57" s="476"/>
      <c r="D57" s="476"/>
      <c r="E57" s="477"/>
      <c r="F57" s="363">
        <f>F59+F60+F61+F62+F63+F64+F66+F67</f>
        <v>282720</v>
      </c>
      <c r="G57" s="363">
        <f t="shared" ref="G57:I57" si="14">G59+G60+G61+G62+G63+G64+G66+G67</f>
        <v>282720</v>
      </c>
      <c r="H57" s="363">
        <f t="shared" si="14"/>
        <v>282720</v>
      </c>
      <c r="I57" s="363">
        <f t="shared" si="14"/>
        <v>282720</v>
      </c>
      <c r="J57" s="327"/>
      <c r="K57" s="368"/>
      <c r="L57" s="369"/>
      <c r="M57" s="366"/>
    </row>
    <row r="58" spans="1:13" x14ac:dyDescent="0.3">
      <c r="A58" s="475" t="s">
        <v>70</v>
      </c>
      <c r="B58" s="476"/>
      <c r="C58" s="476"/>
      <c r="D58" s="476"/>
      <c r="E58" s="477"/>
      <c r="F58" s="363">
        <f>F65</f>
        <v>156479</v>
      </c>
      <c r="G58" s="363">
        <f t="shared" ref="G58:I58" si="15">G65</f>
        <v>156479</v>
      </c>
      <c r="H58" s="363">
        <f t="shared" si="15"/>
        <v>156479</v>
      </c>
      <c r="I58" s="363">
        <f t="shared" si="15"/>
        <v>156479</v>
      </c>
      <c r="J58" s="327"/>
      <c r="K58" s="368"/>
      <c r="L58" s="369"/>
      <c r="M58" s="366"/>
    </row>
    <row r="59" spans="1:13" s="6" customFormat="1" ht="26" hidden="1" x14ac:dyDescent="0.35">
      <c r="A59" s="7">
        <v>1</v>
      </c>
      <c r="B59" s="21" t="s">
        <v>21</v>
      </c>
      <c r="C59" s="5" t="s">
        <v>145</v>
      </c>
      <c r="D59" s="22" t="s">
        <v>146</v>
      </c>
      <c r="E59" s="2" t="s">
        <v>66</v>
      </c>
      <c r="F59" s="84">
        <v>90000</v>
      </c>
      <c r="G59" s="20">
        <v>90000</v>
      </c>
      <c r="H59" s="20">
        <v>90000</v>
      </c>
      <c r="I59" s="20">
        <v>90000</v>
      </c>
      <c r="J59" s="10"/>
      <c r="K59" s="308">
        <v>150000</v>
      </c>
      <c r="L59" s="309">
        <f>F59/K59</f>
        <v>0.6</v>
      </c>
      <c r="M59" s="209"/>
    </row>
    <row r="60" spans="1:13" s="6" customFormat="1" ht="26" hidden="1" x14ac:dyDescent="0.35">
      <c r="A60" s="7">
        <v>2</v>
      </c>
      <c r="B60" s="21" t="s">
        <v>21</v>
      </c>
      <c r="C60" s="5" t="s">
        <v>147</v>
      </c>
      <c r="D60" s="22" t="s">
        <v>146</v>
      </c>
      <c r="E60" s="2" t="s">
        <v>66</v>
      </c>
      <c r="F60" s="84">
        <v>50000</v>
      </c>
      <c r="G60" s="20">
        <v>50000</v>
      </c>
      <c r="H60" s="20">
        <v>50000</v>
      </c>
      <c r="I60" s="20">
        <v>50000</v>
      </c>
      <c r="J60" s="10"/>
      <c r="K60" s="332">
        <v>150000</v>
      </c>
      <c r="L60" s="309">
        <f t="shared" ref="L60:L66" si="16">F60/K60</f>
        <v>0.33333333333333331</v>
      </c>
      <c r="M60" s="209"/>
    </row>
    <row r="61" spans="1:13" s="6" customFormat="1" ht="26" hidden="1" x14ac:dyDescent="0.35">
      <c r="A61" s="7">
        <v>3</v>
      </c>
      <c r="B61" s="21" t="s">
        <v>21</v>
      </c>
      <c r="C61" s="5" t="s">
        <v>148</v>
      </c>
      <c r="D61" s="22" t="s">
        <v>146</v>
      </c>
      <c r="E61" s="2" t="s">
        <v>66</v>
      </c>
      <c r="F61" s="84">
        <v>10000</v>
      </c>
      <c r="G61" s="20">
        <v>10000</v>
      </c>
      <c r="H61" s="20">
        <v>10000</v>
      </c>
      <c r="I61" s="20">
        <v>10000</v>
      </c>
      <c r="J61" s="10"/>
      <c r="K61" s="332">
        <v>20000</v>
      </c>
      <c r="L61" s="309">
        <f t="shared" si="16"/>
        <v>0.5</v>
      </c>
      <c r="M61" s="209"/>
    </row>
    <row r="62" spans="1:13" s="6" customFormat="1" ht="26" hidden="1" x14ac:dyDescent="0.35">
      <c r="A62" s="7">
        <v>4</v>
      </c>
      <c r="B62" s="21" t="s">
        <v>21</v>
      </c>
      <c r="C62" s="5" t="s">
        <v>149</v>
      </c>
      <c r="D62" s="22" t="s">
        <v>146</v>
      </c>
      <c r="E62" s="2" t="s">
        <v>66</v>
      </c>
      <c r="F62" s="84">
        <v>5115</v>
      </c>
      <c r="G62" s="20">
        <v>5115</v>
      </c>
      <c r="H62" s="20">
        <v>5115</v>
      </c>
      <c r="I62" s="20">
        <v>5115</v>
      </c>
      <c r="J62" s="10"/>
      <c r="K62" s="332">
        <v>5115</v>
      </c>
      <c r="L62" s="309">
        <f t="shared" si="16"/>
        <v>1</v>
      </c>
      <c r="M62" s="208" t="s">
        <v>150</v>
      </c>
    </row>
    <row r="63" spans="1:13" s="6" customFormat="1" ht="26" hidden="1" x14ac:dyDescent="0.35">
      <c r="A63" s="7">
        <v>5</v>
      </c>
      <c r="B63" s="21" t="s">
        <v>21</v>
      </c>
      <c r="C63" s="5" t="s">
        <v>151</v>
      </c>
      <c r="D63" s="22" t="s">
        <v>146</v>
      </c>
      <c r="E63" s="2" t="s">
        <v>66</v>
      </c>
      <c r="F63" s="84">
        <v>5000</v>
      </c>
      <c r="G63" s="20">
        <v>5000</v>
      </c>
      <c r="H63" s="20">
        <v>5000</v>
      </c>
      <c r="I63" s="20">
        <v>5000</v>
      </c>
      <c r="J63" s="10"/>
      <c r="K63" s="332">
        <v>5000</v>
      </c>
      <c r="L63" s="309">
        <f t="shared" si="16"/>
        <v>1</v>
      </c>
      <c r="M63" s="279" t="s">
        <v>150</v>
      </c>
    </row>
    <row r="64" spans="1:13" s="6" customFormat="1" ht="39" hidden="1" x14ac:dyDescent="0.35">
      <c r="A64" s="7">
        <v>6</v>
      </c>
      <c r="B64" s="21" t="s">
        <v>21</v>
      </c>
      <c r="C64" s="5" t="s">
        <v>152</v>
      </c>
      <c r="D64" s="22" t="s">
        <v>146</v>
      </c>
      <c r="E64" s="2" t="s">
        <v>66</v>
      </c>
      <c r="F64" s="84">
        <v>104005</v>
      </c>
      <c r="G64" s="20">
        <v>104005</v>
      </c>
      <c r="H64" s="20">
        <v>104005</v>
      </c>
      <c r="I64" s="20">
        <v>104005</v>
      </c>
      <c r="J64" s="10"/>
      <c r="K64" s="332">
        <v>593439</v>
      </c>
      <c r="L64" s="309">
        <f t="shared" si="16"/>
        <v>0.17525811414484049</v>
      </c>
      <c r="M64" s="209"/>
    </row>
    <row r="65" spans="1:13" s="6" customFormat="1" ht="65" hidden="1" x14ac:dyDescent="0.3">
      <c r="A65" s="7">
        <v>7</v>
      </c>
      <c r="B65" s="21" t="s">
        <v>21</v>
      </c>
      <c r="C65" s="5" t="s">
        <v>153</v>
      </c>
      <c r="D65" s="22" t="s">
        <v>146</v>
      </c>
      <c r="E65" s="46" t="s">
        <v>70</v>
      </c>
      <c r="F65" s="84">
        <v>156479</v>
      </c>
      <c r="G65" s="20">
        <v>156479</v>
      </c>
      <c r="H65" s="20">
        <v>156479</v>
      </c>
      <c r="I65" s="20">
        <v>156479</v>
      </c>
      <c r="J65" s="10"/>
      <c r="K65" s="332">
        <v>7436024</v>
      </c>
      <c r="L65" s="309">
        <f t="shared" si="16"/>
        <v>2.1043369413546811E-2</v>
      </c>
      <c r="M65" s="209"/>
    </row>
    <row r="66" spans="1:13" s="6" customFormat="1" ht="39" hidden="1" x14ac:dyDescent="0.35">
      <c r="A66" s="7">
        <v>8</v>
      </c>
      <c r="B66" s="21" t="s">
        <v>21</v>
      </c>
      <c r="C66" s="5" t="s">
        <v>154</v>
      </c>
      <c r="D66" s="22" t="s">
        <v>146</v>
      </c>
      <c r="E66" s="2" t="s">
        <v>66</v>
      </c>
      <c r="F66" s="84">
        <v>6400</v>
      </c>
      <c r="G66" s="20">
        <v>6400</v>
      </c>
      <c r="H66" s="20">
        <v>6400</v>
      </c>
      <c r="I66" s="20">
        <v>6400</v>
      </c>
      <c r="J66" s="10"/>
      <c r="K66" s="332">
        <v>10000</v>
      </c>
      <c r="L66" s="309">
        <f t="shared" si="16"/>
        <v>0.64</v>
      </c>
      <c r="M66" s="208" t="s">
        <v>155</v>
      </c>
    </row>
    <row r="67" spans="1:13" s="6" customFormat="1" ht="26" hidden="1" x14ac:dyDescent="0.35">
      <c r="A67" s="7">
        <v>9</v>
      </c>
      <c r="B67" s="21" t="s">
        <v>21</v>
      </c>
      <c r="C67" s="5" t="s">
        <v>156</v>
      </c>
      <c r="D67" s="22" t="s">
        <v>157</v>
      </c>
      <c r="E67" s="2" t="s">
        <v>66</v>
      </c>
      <c r="F67" s="98">
        <v>12200</v>
      </c>
      <c r="G67" s="97">
        <v>12200</v>
      </c>
      <c r="H67" s="97">
        <v>12200</v>
      </c>
      <c r="I67" s="97">
        <v>12200</v>
      </c>
      <c r="J67" s="10"/>
      <c r="K67" s="332">
        <v>28400</v>
      </c>
      <c r="L67" s="309">
        <f>F67/K67</f>
        <v>0.42957746478873238</v>
      </c>
      <c r="M67" s="333" t="s">
        <v>158</v>
      </c>
    </row>
    <row r="68" spans="1:13" x14ac:dyDescent="0.3">
      <c r="A68" s="457" t="s">
        <v>159</v>
      </c>
      <c r="B68" s="458"/>
      <c r="C68" s="458"/>
      <c r="D68" s="458"/>
      <c r="E68" s="459"/>
      <c r="F68" s="39">
        <f>SUM(F77:F88)</f>
        <v>3836047</v>
      </c>
      <c r="G68" s="39">
        <f>SUM(G77:G88)</f>
        <v>3836047</v>
      </c>
      <c r="H68" s="39">
        <f>SUM(H77:H88)</f>
        <v>3836047</v>
      </c>
      <c r="I68" s="39">
        <f>SUM(I77:I88)</f>
        <v>3529804</v>
      </c>
      <c r="J68" s="141"/>
      <c r="K68" s="226"/>
      <c r="L68" s="220"/>
      <c r="M68" s="142"/>
    </row>
    <row r="69" spans="1:13" x14ac:dyDescent="0.3">
      <c r="A69" s="460" t="s">
        <v>160</v>
      </c>
      <c r="B69" s="461"/>
      <c r="C69" s="461"/>
      <c r="D69" s="461"/>
      <c r="E69" s="462"/>
      <c r="F69" s="40">
        <v>3836047</v>
      </c>
      <c r="G69" s="86"/>
      <c r="H69" s="86"/>
      <c r="I69" s="86"/>
      <c r="J69" s="143"/>
      <c r="K69" s="227"/>
      <c r="L69" s="221"/>
      <c r="M69" s="144"/>
    </row>
    <row r="70" spans="1:13" x14ac:dyDescent="0.3">
      <c r="A70" s="463" t="s">
        <v>161</v>
      </c>
      <c r="B70" s="464"/>
      <c r="C70" s="464"/>
      <c r="D70" s="464"/>
      <c r="E70" s="465"/>
      <c r="F70" s="41">
        <f>F69-F68</f>
        <v>0</v>
      </c>
      <c r="G70" s="87"/>
      <c r="H70" s="87"/>
      <c r="I70" s="87"/>
      <c r="J70" s="143"/>
      <c r="K70" s="227"/>
      <c r="L70" s="221"/>
      <c r="M70" s="144"/>
    </row>
    <row r="71" spans="1:13" x14ac:dyDescent="0.3">
      <c r="A71" s="475" t="s">
        <v>65</v>
      </c>
      <c r="B71" s="476"/>
      <c r="C71" s="476"/>
      <c r="D71" s="476"/>
      <c r="E71" s="477"/>
      <c r="F71" s="370">
        <f>F82+F84+F85</f>
        <v>1616295</v>
      </c>
      <c r="G71" s="370">
        <f t="shared" ref="G71:I71" si="17">G82+G84+G85</f>
        <v>1581312</v>
      </c>
      <c r="H71" s="370">
        <f t="shared" si="17"/>
        <v>2008847</v>
      </c>
      <c r="I71" s="370">
        <f t="shared" si="17"/>
        <v>2080245</v>
      </c>
      <c r="J71" s="327"/>
      <c r="K71" s="368"/>
      <c r="L71" s="369"/>
      <c r="M71" s="366"/>
    </row>
    <row r="72" spans="1:13" x14ac:dyDescent="0.3">
      <c r="A72" s="475" t="s">
        <v>66</v>
      </c>
      <c r="B72" s="476"/>
      <c r="C72" s="476"/>
      <c r="D72" s="476"/>
      <c r="E72" s="477"/>
      <c r="F72" s="370">
        <f>F79+F83+F86</f>
        <v>728950</v>
      </c>
      <c r="G72" s="370">
        <f t="shared" ref="G72:I72" si="18">G79+G83+G86</f>
        <v>760933</v>
      </c>
      <c r="H72" s="370">
        <f t="shared" si="18"/>
        <v>860398</v>
      </c>
      <c r="I72" s="370">
        <f t="shared" si="18"/>
        <v>924757</v>
      </c>
      <c r="J72" s="327"/>
      <c r="K72" s="368"/>
      <c r="L72" s="369"/>
      <c r="M72" s="366"/>
    </row>
    <row r="73" spans="1:13" x14ac:dyDescent="0.3">
      <c r="A73" s="475" t="s">
        <v>67</v>
      </c>
      <c r="B73" s="476"/>
      <c r="C73" s="476"/>
      <c r="D73" s="476"/>
      <c r="E73" s="477"/>
      <c r="F73" s="370">
        <f>F78+F80</f>
        <v>196000</v>
      </c>
      <c r="G73" s="370">
        <f t="shared" ref="G73:I73" si="19">G78+G80</f>
        <v>196000</v>
      </c>
      <c r="H73" s="370">
        <f t="shared" si="19"/>
        <v>196000</v>
      </c>
      <c r="I73" s="370">
        <f t="shared" si="19"/>
        <v>196000</v>
      </c>
      <c r="J73" s="327"/>
      <c r="K73" s="368"/>
      <c r="L73" s="369"/>
      <c r="M73" s="366"/>
    </row>
    <row r="74" spans="1:13" x14ac:dyDescent="0.3">
      <c r="A74" s="475" t="s">
        <v>68</v>
      </c>
      <c r="B74" s="476"/>
      <c r="C74" s="476"/>
      <c r="D74" s="476"/>
      <c r="E74" s="477"/>
      <c r="F74" s="370">
        <f>F87</f>
        <v>140658</v>
      </c>
      <c r="G74" s="370">
        <f t="shared" ref="G74:I74" si="20">G87</f>
        <v>140658</v>
      </c>
      <c r="H74" s="370">
        <f t="shared" si="20"/>
        <v>140658</v>
      </c>
      <c r="I74" s="370">
        <f t="shared" si="20"/>
        <v>140658</v>
      </c>
      <c r="J74" s="327"/>
      <c r="K74" s="368"/>
      <c r="L74" s="369"/>
      <c r="M74" s="366"/>
    </row>
    <row r="75" spans="1:13" x14ac:dyDescent="0.3">
      <c r="A75" s="475" t="s">
        <v>69</v>
      </c>
      <c r="B75" s="476"/>
      <c r="C75" s="476"/>
      <c r="D75" s="476"/>
      <c r="E75" s="477"/>
      <c r="F75" s="370">
        <f>F88</f>
        <v>1144</v>
      </c>
      <c r="G75" s="370">
        <f t="shared" ref="G75:I75" si="21">G88</f>
        <v>1144</v>
      </c>
      <c r="H75" s="370">
        <f t="shared" si="21"/>
        <v>1144</v>
      </c>
      <c r="I75" s="370">
        <f t="shared" si="21"/>
        <v>1144</v>
      </c>
      <c r="J75" s="327"/>
      <c r="K75" s="368"/>
      <c r="L75" s="369"/>
      <c r="M75" s="366"/>
    </row>
    <row r="76" spans="1:13" x14ac:dyDescent="0.3">
      <c r="A76" s="475" t="s">
        <v>70</v>
      </c>
      <c r="B76" s="476"/>
      <c r="C76" s="476"/>
      <c r="D76" s="476"/>
      <c r="E76" s="477"/>
      <c r="F76" s="370">
        <f>F81+F77</f>
        <v>1153000</v>
      </c>
      <c r="G76" s="370">
        <f t="shared" ref="G76:I76" si="22">G81+G77</f>
        <v>1156000</v>
      </c>
      <c r="H76" s="370">
        <f t="shared" si="22"/>
        <v>629000</v>
      </c>
      <c r="I76" s="370">
        <f t="shared" si="22"/>
        <v>187000</v>
      </c>
      <c r="J76" s="327"/>
      <c r="K76" s="368"/>
      <c r="L76" s="369"/>
      <c r="M76" s="366"/>
    </row>
    <row r="77" spans="1:13" s="6" customFormat="1" ht="26" hidden="1" x14ac:dyDescent="0.35">
      <c r="A77" s="7">
        <v>1</v>
      </c>
      <c r="B77" s="7" t="s">
        <v>22</v>
      </c>
      <c r="C77" s="5" t="s">
        <v>162</v>
      </c>
      <c r="D77" s="2" t="s">
        <v>163</v>
      </c>
      <c r="E77" s="2" t="s">
        <v>164</v>
      </c>
      <c r="F77" s="84">
        <v>1103000</v>
      </c>
      <c r="G77" s="20">
        <v>1106000</v>
      </c>
      <c r="H77" s="20">
        <v>579000</v>
      </c>
      <c r="I77" s="20">
        <v>137000</v>
      </c>
      <c r="J77" s="10"/>
      <c r="K77" s="269">
        <v>17653256</v>
      </c>
      <c r="L77" s="270">
        <f t="shared" ref="L77:L111" si="23">F77/K77</f>
        <v>6.2481391534796753E-2</v>
      </c>
      <c r="M77" s="53" t="s">
        <v>165</v>
      </c>
    </row>
    <row r="78" spans="1:13" s="6" customFormat="1" ht="24.75" hidden="1" customHeight="1" x14ac:dyDescent="0.35">
      <c r="A78" s="493">
        <v>2</v>
      </c>
      <c r="B78" s="493" t="s">
        <v>22</v>
      </c>
      <c r="C78" s="495" t="s">
        <v>166</v>
      </c>
      <c r="D78" s="495" t="s">
        <v>167</v>
      </c>
      <c r="E78" s="2" t="s">
        <v>67</v>
      </c>
      <c r="F78" s="84">
        <v>46000</v>
      </c>
      <c r="G78" s="20">
        <v>46000</v>
      </c>
      <c r="H78" s="20">
        <v>46000</v>
      </c>
      <c r="I78" s="20">
        <v>46000</v>
      </c>
      <c r="J78" s="497"/>
      <c r="K78" s="499">
        <v>176238</v>
      </c>
      <c r="L78" s="501">
        <f>(F78+F79)/K78</f>
        <v>0.28370725950135611</v>
      </c>
      <c r="M78" s="503" t="s">
        <v>168</v>
      </c>
    </row>
    <row r="79" spans="1:13" s="6" customFormat="1" ht="26" hidden="1" x14ac:dyDescent="0.35">
      <c r="A79" s="494"/>
      <c r="B79" s="494"/>
      <c r="C79" s="496"/>
      <c r="D79" s="496"/>
      <c r="E79" s="2" t="s">
        <v>66</v>
      </c>
      <c r="F79" s="84">
        <v>4000</v>
      </c>
      <c r="G79" s="20">
        <v>4000</v>
      </c>
      <c r="H79" s="20">
        <v>4000</v>
      </c>
      <c r="I79" s="20">
        <v>4000</v>
      </c>
      <c r="J79" s="498"/>
      <c r="K79" s="500"/>
      <c r="L79" s="502"/>
      <c r="M79" s="504"/>
    </row>
    <row r="80" spans="1:13" s="6" customFormat="1" ht="26" hidden="1" x14ac:dyDescent="0.35">
      <c r="A80" s="493">
        <v>3</v>
      </c>
      <c r="B80" s="493" t="s">
        <v>22</v>
      </c>
      <c r="C80" s="495" t="s">
        <v>169</v>
      </c>
      <c r="D80" s="495" t="s">
        <v>167</v>
      </c>
      <c r="E80" s="2" t="s">
        <v>67</v>
      </c>
      <c r="F80" s="84">
        <v>150000</v>
      </c>
      <c r="G80" s="20">
        <v>150000</v>
      </c>
      <c r="H80" s="20">
        <v>150000</v>
      </c>
      <c r="I80" s="20">
        <v>150000</v>
      </c>
      <c r="J80" s="495"/>
      <c r="K80" s="499">
        <v>1658793</v>
      </c>
      <c r="L80" s="501">
        <f>(F80+F81)/K80</f>
        <v>0.12056959488013272</v>
      </c>
      <c r="M80" s="495"/>
    </row>
    <row r="81" spans="1:13" s="6" customFormat="1" ht="104" hidden="1" x14ac:dyDescent="0.35">
      <c r="A81" s="494"/>
      <c r="B81" s="494"/>
      <c r="C81" s="496"/>
      <c r="D81" s="496"/>
      <c r="E81" s="2" t="s">
        <v>170</v>
      </c>
      <c r="F81" s="84">
        <v>50000</v>
      </c>
      <c r="G81" s="20">
        <v>50000</v>
      </c>
      <c r="H81" s="20">
        <v>50000</v>
      </c>
      <c r="I81" s="20">
        <v>50000</v>
      </c>
      <c r="J81" s="496"/>
      <c r="K81" s="500"/>
      <c r="L81" s="502"/>
      <c r="M81" s="496"/>
    </row>
    <row r="82" spans="1:13" s="6" customFormat="1" ht="24.75" hidden="1" customHeight="1" x14ac:dyDescent="0.35">
      <c r="A82" s="493">
        <v>4</v>
      </c>
      <c r="B82" s="493" t="s">
        <v>22</v>
      </c>
      <c r="C82" s="495" t="s">
        <v>171</v>
      </c>
      <c r="D82" s="495" t="s">
        <v>167</v>
      </c>
      <c r="E82" s="2" t="s">
        <v>65</v>
      </c>
      <c r="F82" s="20">
        <v>55000</v>
      </c>
      <c r="G82" s="20">
        <v>55000</v>
      </c>
      <c r="H82" s="20"/>
      <c r="I82" s="20"/>
      <c r="J82" s="495" t="s">
        <v>172</v>
      </c>
      <c r="K82" s="499">
        <v>3367125</v>
      </c>
      <c r="L82" s="501">
        <f>(F82+F83)/K82</f>
        <v>7.3801833908750045E-2</v>
      </c>
      <c r="M82" s="505"/>
    </row>
    <row r="83" spans="1:13" s="6" customFormat="1" ht="26" hidden="1" x14ac:dyDescent="0.35">
      <c r="A83" s="494"/>
      <c r="B83" s="494"/>
      <c r="C83" s="496"/>
      <c r="D83" s="496"/>
      <c r="E83" s="2" t="s">
        <v>66</v>
      </c>
      <c r="F83" s="20">
        <v>193500</v>
      </c>
      <c r="G83" s="20">
        <v>193500</v>
      </c>
      <c r="H83" s="20"/>
      <c r="I83" s="20"/>
      <c r="J83" s="496"/>
      <c r="K83" s="500"/>
      <c r="L83" s="502"/>
      <c r="M83" s="506"/>
    </row>
    <row r="84" spans="1:13" s="6" customFormat="1" ht="26" hidden="1" x14ac:dyDescent="0.35">
      <c r="A84" s="235">
        <v>5</v>
      </c>
      <c r="B84" s="235" t="s">
        <v>22</v>
      </c>
      <c r="C84" s="45" t="s">
        <v>104</v>
      </c>
      <c r="D84" s="45" t="s">
        <v>167</v>
      </c>
      <c r="E84" s="2" t="s">
        <v>65</v>
      </c>
      <c r="F84" s="20">
        <v>120000</v>
      </c>
      <c r="G84" s="20"/>
      <c r="H84" s="20"/>
      <c r="I84" s="20"/>
      <c r="J84" s="3" t="s">
        <v>104</v>
      </c>
      <c r="K84" s="214">
        <v>120000</v>
      </c>
      <c r="L84" s="219">
        <f t="shared" si="23"/>
        <v>1</v>
      </c>
      <c r="M84" s="3"/>
    </row>
    <row r="85" spans="1:13" s="6" customFormat="1" ht="104" hidden="1" x14ac:dyDescent="0.35">
      <c r="A85" s="493">
        <v>6</v>
      </c>
      <c r="B85" s="493" t="s">
        <v>22</v>
      </c>
      <c r="C85" s="495" t="s">
        <v>173</v>
      </c>
      <c r="D85" s="495" t="s">
        <v>167</v>
      </c>
      <c r="E85" s="2" t="s">
        <v>65</v>
      </c>
      <c r="F85" s="84">
        <v>1441295</v>
      </c>
      <c r="G85" s="20">
        <v>1526312</v>
      </c>
      <c r="H85" s="20">
        <v>2008847</v>
      </c>
      <c r="I85" s="20">
        <v>2080245</v>
      </c>
      <c r="J85" s="3" t="s">
        <v>174</v>
      </c>
      <c r="K85" s="499">
        <f>78807747+31699</f>
        <v>78839446</v>
      </c>
      <c r="L85" s="501">
        <f>(F85+F86+F87)/K85</f>
        <v>2.6806416168880739E-2</v>
      </c>
      <c r="M85" s="503" t="s">
        <v>175</v>
      </c>
    </row>
    <row r="86" spans="1:13" s="6" customFormat="1" ht="65" hidden="1" x14ac:dyDescent="0.35">
      <c r="A86" s="508"/>
      <c r="B86" s="508"/>
      <c r="C86" s="509"/>
      <c r="D86" s="509"/>
      <c r="E86" s="2" t="s">
        <v>66</v>
      </c>
      <c r="F86" s="84">
        <v>531450</v>
      </c>
      <c r="G86" s="20">
        <v>563433</v>
      </c>
      <c r="H86" s="20">
        <v>856398</v>
      </c>
      <c r="I86" s="20">
        <v>920757</v>
      </c>
      <c r="J86" s="3" t="s">
        <v>176</v>
      </c>
      <c r="K86" s="510"/>
      <c r="L86" s="511"/>
      <c r="M86" s="507"/>
    </row>
    <row r="87" spans="1:13" s="6" customFormat="1" ht="26" hidden="1" x14ac:dyDescent="0.35">
      <c r="A87" s="494"/>
      <c r="B87" s="494"/>
      <c r="C87" s="496"/>
      <c r="D87" s="496"/>
      <c r="E87" s="2" t="s">
        <v>68</v>
      </c>
      <c r="F87" s="20">
        <v>140658</v>
      </c>
      <c r="G87" s="20">
        <v>140658</v>
      </c>
      <c r="H87" s="20">
        <v>140658</v>
      </c>
      <c r="I87" s="20">
        <v>140658</v>
      </c>
      <c r="J87" s="3"/>
      <c r="K87" s="500"/>
      <c r="L87" s="502"/>
      <c r="M87" s="504"/>
    </row>
    <row r="88" spans="1:13" s="6" customFormat="1" ht="39" hidden="1" x14ac:dyDescent="0.35">
      <c r="A88" s="7">
        <v>7</v>
      </c>
      <c r="B88" s="7" t="s">
        <v>22</v>
      </c>
      <c r="C88" s="3" t="s">
        <v>177</v>
      </c>
      <c r="D88" s="3" t="s">
        <v>178</v>
      </c>
      <c r="E88" s="2" t="s">
        <v>69</v>
      </c>
      <c r="F88" s="84">
        <v>1144</v>
      </c>
      <c r="G88" s="20">
        <v>1144</v>
      </c>
      <c r="H88" s="20">
        <v>1144</v>
      </c>
      <c r="I88" s="20">
        <v>1144</v>
      </c>
      <c r="J88" s="3"/>
      <c r="K88" s="214">
        <v>11144</v>
      </c>
      <c r="L88" s="219">
        <f>F88/K88</f>
        <v>0.10265613783201723</v>
      </c>
      <c r="M88" s="3"/>
    </row>
    <row r="89" spans="1:13" x14ac:dyDescent="0.3">
      <c r="A89" s="457" t="s">
        <v>179</v>
      </c>
      <c r="B89" s="458"/>
      <c r="C89" s="458"/>
      <c r="D89" s="458"/>
      <c r="E89" s="459"/>
      <c r="F89" s="39">
        <f>SUM(F97:F112)</f>
        <v>9552158</v>
      </c>
      <c r="G89" s="39">
        <f t="shared" ref="G89:I89" si="24">SUM(G97:G112)</f>
        <v>9552158</v>
      </c>
      <c r="H89" s="39">
        <f t="shared" si="24"/>
        <v>9552158</v>
      </c>
      <c r="I89" s="39">
        <f t="shared" si="24"/>
        <v>9552158</v>
      </c>
      <c r="J89" s="141"/>
      <c r="K89" s="226"/>
      <c r="L89" s="220"/>
      <c r="M89" s="142"/>
    </row>
    <row r="90" spans="1:13" x14ac:dyDescent="0.3">
      <c r="A90" s="460" t="s">
        <v>180</v>
      </c>
      <c r="B90" s="461"/>
      <c r="C90" s="461"/>
      <c r="D90" s="461"/>
      <c r="E90" s="462"/>
      <c r="F90" s="40">
        <v>9552158</v>
      </c>
      <c r="G90" s="86"/>
      <c r="H90" s="86"/>
      <c r="I90" s="86"/>
      <c r="J90" s="143"/>
      <c r="K90" s="227"/>
      <c r="L90" s="221"/>
      <c r="M90" s="144"/>
    </row>
    <row r="91" spans="1:13" x14ac:dyDescent="0.3">
      <c r="A91" s="463" t="s">
        <v>181</v>
      </c>
      <c r="B91" s="464"/>
      <c r="C91" s="464"/>
      <c r="D91" s="464"/>
      <c r="E91" s="465"/>
      <c r="F91" s="42">
        <f>F90-F89</f>
        <v>0</v>
      </c>
      <c r="G91" s="87"/>
      <c r="H91" s="87"/>
      <c r="I91" s="87"/>
      <c r="J91" s="143"/>
      <c r="K91" s="227"/>
      <c r="L91" s="221"/>
      <c r="M91" s="144"/>
    </row>
    <row r="92" spans="1:13" x14ac:dyDescent="0.3">
      <c r="A92" s="475" t="s">
        <v>65</v>
      </c>
      <c r="B92" s="476"/>
      <c r="C92" s="476"/>
      <c r="D92" s="476"/>
      <c r="E92" s="477"/>
      <c r="F92" s="363">
        <f>F98+F99+F107+F109</f>
        <v>783660</v>
      </c>
      <c r="G92" s="363">
        <f t="shared" ref="G92:I92" si="25">G98+G99+G107+G109</f>
        <v>426900</v>
      </c>
      <c r="H92" s="363">
        <f t="shared" si="25"/>
        <v>426900</v>
      </c>
      <c r="I92" s="363">
        <f t="shared" si="25"/>
        <v>426900</v>
      </c>
      <c r="J92" s="327"/>
      <c r="K92" s="368"/>
      <c r="L92" s="369"/>
      <c r="M92" s="366"/>
    </row>
    <row r="93" spans="1:13" x14ac:dyDescent="0.3">
      <c r="A93" s="475" t="s">
        <v>66</v>
      </c>
      <c r="B93" s="476"/>
      <c r="C93" s="476"/>
      <c r="D93" s="476"/>
      <c r="E93" s="477"/>
      <c r="F93" s="363">
        <f>F100+F102+F105+F108+F110</f>
        <v>3386598</v>
      </c>
      <c r="G93" s="363">
        <f t="shared" ref="G93:I93" si="26">G100+G102+G105+G108+G110</f>
        <v>298643</v>
      </c>
      <c r="H93" s="363">
        <f t="shared" si="26"/>
        <v>298643</v>
      </c>
      <c r="I93" s="363">
        <f t="shared" si="26"/>
        <v>298643</v>
      </c>
      <c r="J93" s="327"/>
      <c r="K93" s="368"/>
      <c r="L93" s="369"/>
      <c r="M93" s="366"/>
    </row>
    <row r="94" spans="1:13" x14ac:dyDescent="0.3">
      <c r="A94" s="475" t="s">
        <v>67</v>
      </c>
      <c r="B94" s="476"/>
      <c r="C94" s="476"/>
      <c r="D94" s="476"/>
      <c r="E94" s="477"/>
      <c r="F94" s="363">
        <f>F97+F101+F103+F111+F112</f>
        <v>5260000</v>
      </c>
      <c r="G94" s="363">
        <f t="shared" ref="G94:I94" si="27">G97+G101+G103+G111+G112</f>
        <v>8704715</v>
      </c>
      <c r="H94" s="363">
        <f t="shared" si="27"/>
        <v>8704715</v>
      </c>
      <c r="I94" s="363">
        <f t="shared" si="27"/>
        <v>8704715</v>
      </c>
      <c r="J94" s="327"/>
      <c r="K94" s="368"/>
      <c r="L94" s="369"/>
      <c r="M94" s="366"/>
    </row>
    <row r="95" spans="1:13" x14ac:dyDescent="0.3">
      <c r="A95" s="475" t="s">
        <v>68</v>
      </c>
      <c r="B95" s="476"/>
      <c r="C95" s="476"/>
      <c r="D95" s="476"/>
      <c r="E95" s="477"/>
      <c r="F95" s="363">
        <f>F104</f>
        <v>81900</v>
      </c>
      <c r="G95" s="363">
        <f t="shared" ref="G95:I95" si="28">G104</f>
        <v>81900</v>
      </c>
      <c r="H95" s="363">
        <f t="shared" si="28"/>
        <v>81900</v>
      </c>
      <c r="I95" s="363">
        <f t="shared" si="28"/>
        <v>81900</v>
      </c>
      <c r="J95" s="327"/>
      <c r="K95" s="368"/>
      <c r="L95" s="369"/>
      <c r="M95" s="366"/>
    </row>
    <row r="96" spans="1:13" x14ac:dyDescent="0.3">
      <c r="A96" s="475" t="s">
        <v>70</v>
      </c>
      <c r="B96" s="476"/>
      <c r="C96" s="476"/>
      <c r="D96" s="476"/>
      <c r="E96" s="477"/>
      <c r="F96" s="363">
        <f>F106</f>
        <v>40000</v>
      </c>
      <c r="G96" s="363">
        <f t="shared" ref="G96:I96" si="29">G106</f>
        <v>40000</v>
      </c>
      <c r="H96" s="363">
        <f t="shared" si="29"/>
        <v>40000</v>
      </c>
      <c r="I96" s="363">
        <f t="shared" si="29"/>
        <v>40000</v>
      </c>
      <c r="J96" s="327"/>
      <c r="K96" s="368"/>
      <c r="L96" s="369"/>
      <c r="M96" s="366"/>
    </row>
    <row r="97" spans="1:13" s="6" customFormat="1" ht="78" hidden="1" x14ac:dyDescent="0.35">
      <c r="A97" s="7">
        <v>1</v>
      </c>
      <c r="B97" s="21" t="s">
        <v>23</v>
      </c>
      <c r="C97" s="2" t="s">
        <v>182</v>
      </c>
      <c r="D97" s="2" t="s">
        <v>183</v>
      </c>
      <c r="E97" s="2" t="s">
        <v>67</v>
      </c>
      <c r="F97" s="88">
        <v>220000</v>
      </c>
      <c r="G97" s="88">
        <v>220000</v>
      </c>
      <c r="H97" s="88">
        <v>220000</v>
      </c>
      <c r="I97" s="88">
        <v>220000</v>
      </c>
      <c r="J97" s="3"/>
      <c r="K97" s="310">
        <v>220000</v>
      </c>
      <c r="L97" s="311">
        <f t="shared" si="23"/>
        <v>1</v>
      </c>
      <c r="M97" s="3"/>
    </row>
    <row r="98" spans="1:13" s="6" customFormat="1" ht="409.5" hidden="1" x14ac:dyDescent="0.35">
      <c r="A98" s="7">
        <v>2</v>
      </c>
      <c r="B98" s="21" t="s">
        <v>23</v>
      </c>
      <c r="C98" s="2" t="s">
        <v>184</v>
      </c>
      <c r="D98" s="2" t="s">
        <v>185</v>
      </c>
      <c r="E98" s="2" t="s">
        <v>65</v>
      </c>
      <c r="F98" s="89">
        <v>400900</v>
      </c>
      <c r="G98" s="89">
        <v>400900</v>
      </c>
      <c r="H98" s="89">
        <v>400900</v>
      </c>
      <c r="I98" s="89">
        <v>400900</v>
      </c>
      <c r="J98" s="3"/>
      <c r="K98" s="334">
        <v>400900</v>
      </c>
      <c r="L98" s="311">
        <f t="shared" si="23"/>
        <v>1</v>
      </c>
      <c r="M98" s="291" t="s">
        <v>186</v>
      </c>
    </row>
    <row r="99" spans="1:13" s="6" customFormat="1" ht="14.5" hidden="1" customHeight="1" x14ac:dyDescent="0.35">
      <c r="A99" s="493">
        <v>3</v>
      </c>
      <c r="B99" s="497" t="s">
        <v>23</v>
      </c>
      <c r="C99" s="497" t="s">
        <v>187</v>
      </c>
      <c r="D99" s="497" t="s">
        <v>188</v>
      </c>
      <c r="E99" s="2" t="s">
        <v>65</v>
      </c>
      <c r="F99" s="89">
        <v>26000</v>
      </c>
      <c r="G99" s="89">
        <v>26000</v>
      </c>
      <c r="H99" s="89">
        <v>26000</v>
      </c>
      <c r="I99" s="89">
        <v>26000</v>
      </c>
      <c r="J99" s="495" t="s">
        <v>189</v>
      </c>
      <c r="K99" s="310">
        <v>1633466</v>
      </c>
      <c r="L99" s="311">
        <f t="shared" si="23"/>
        <v>1.5917074490684226E-2</v>
      </c>
      <c r="M99" s="318"/>
    </row>
    <row r="100" spans="1:13" s="6" customFormat="1" ht="108.65" hidden="1" customHeight="1" x14ac:dyDescent="0.35">
      <c r="A100" s="494"/>
      <c r="B100" s="498"/>
      <c r="C100" s="498"/>
      <c r="D100" s="498"/>
      <c r="E100" s="2" t="s">
        <v>66</v>
      </c>
      <c r="F100" s="89">
        <v>79280</v>
      </c>
      <c r="G100" s="89">
        <v>79280</v>
      </c>
      <c r="H100" s="89">
        <v>79280</v>
      </c>
      <c r="I100" s="89">
        <v>79280</v>
      </c>
      <c r="J100" s="496"/>
      <c r="K100" s="310">
        <v>414080</v>
      </c>
      <c r="L100" s="311">
        <f t="shared" si="23"/>
        <v>0.19146058732612056</v>
      </c>
      <c r="M100" s="318"/>
    </row>
    <row r="101" spans="1:13" s="6" customFormat="1" ht="91" hidden="1" x14ac:dyDescent="0.35">
      <c r="A101" s="7">
        <v>4</v>
      </c>
      <c r="B101" s="21" t="s">
        <v>23</v>
      </c>
      <c r="C101" s="2" t="s">
        <v>190</v>
      </c>
      <c r="D101" s="2" t="s">
        <v>191</v>
      </c>
      <c r="E101" s="2" t="s">
        <v>67</v>
      </c>
      <c r="F101" s="88">
        <v>40000</v>
      </c>
      <c r="G101" s="88">
        <v>40000</v>
      </c>
      <c r="H101" s="88">
        <v>40000</v>
      </c>
      <c r="I101" s="88">
        <v>40000</v>
      </c>
      <c r="J101" s="3"/>
      <c r="K101" s="310">
        <v>386477</v>
      </c>
      <c r="L101" s="311">
        <f t="shared" si="23"/>
        <v>0.10349904392758172</v>
      </c>
      <c r="M101" s="318"/>
    </row>
    <row r="102" spans="1:13" s="6" customFormat="1" ht="143" hidden="1" x14ac:dyDescent="0.35">
      <c r="A102" s="7">
        <v>5</v>
      </c>
      <c r="B102" s="21" t="s">
        <v>23</v>
      </c>
      <c r="C102" s="2" t="s">
        <v>192</v>
      </c>
      <c r="D102" s="2" t="s">
        <v>193</v>
      </c>
      <c r="E102" s="2" t="s">
        <v>66</v>
      </c>
      <c r="F102" s="89">
        <v>643955</v>
      </c>
      <c r="G102" s="89"/>
      <c r="H102" s="89"/>
      <c r="I102" s="89"/>
      <c r="J102" s="3"/>
      <c r="K102" s="310">
        <v>2878827</v>
      </c>
      <c r="L102" s="311">
        <f>F102/K102</f>
        <v>0.22368659179589465</v>
      </c>
      <c r="M102" s="318" t="s">
        <v>194</v>
      </c>
    </row>
    <row r="103" spans="1:13" s="6" customFormat="1" ht="39" hidden="1" x14ac:dyDescent="0.35">
      <c r="A103" s="7">
        <v>6</v>
      </c>
      <c r="B103" s="21" t="s">
        <v>23</v>
      </c>
      <c r="C103" s="2" t="s">
        <v>195</v>
      </c>
      <c r="D103" s="2" t="s">
        <v>196</v>
      </c>
      <c r="E103" s="2" t="s">
        <v>67</v>
      </c>
      <c r="F103" s="88">
        <v>5000000</v>
      </c>
      <c r="G103" s="88">
        <v>5000000</v>
      </c>
      <c r="H103" s="88">
        <v>5000000</v>
      </c>
      <c r="I103" s="88">
        <v>5000000</v>
      </c>
      <c r="J103" s="3"/>
      <c r="K103" s="310">
        <v>23616074</v>
      </c>
      <c r="L103" s="311">
        <f t="shared" si="23"/>
        <v>0.21172020379001183</v>
      </c>
      <c r="M103" s="318" t="s">
        <v>197</v>
      </c>
    </row>
    <row r="104" spans="1:13" s="6" customFormat="1" ht="104" hidden="1" x14ac:dyDescent="0.35">
      <c r="A104" s="7">
        <v>7</v>
      </c>
      <c r="B104" s="21" t="s">
        <v>23</v>
      </c>
      <c r="C104" s="2" t="s">
        <v>198</v>
      </c>
      <c r="D104" s="2" t="s">
        <v>199</v>
      </c>
      <c r="E104" s="2" t="s">
        <v>68</v>
      </c>
      <c r="F104" s="88">
        <v>81900</v>
      </c>
      <c r="G104" s="88">
        <v>81900</v>
      </c>
      <c r="H104" s="88">
        <v>81900</v>
      </c>
      <c r="I104" s="88">
        <v>81900</v>
      </c>
      <c r="J104" s="3"/>
      <c r="K104" s="310">
        <v>947636</v>
      </c>
      <c r="L104" s="311">
        <f t="shared" si="23"/>
        <v>8.6425589572367442E-2</v>
      </c>
      <c r="M104" s="318"/>
    </row>
    <row r="105" spans="1:13" s="6" customFormat="1" ht="117" hidden="1" x14ac:dyDescent="0.35">
      <c r="A105" s="7">
        <v>8</v>
      </c>
      <c r="B105" s="21" t="s">
        <v>23</v>
      </c>
      <c r="C105" s="2" t="s">
        <v>200</v>
      </c>
      <c r="D105" s="2" t="s">
        <v>201</v>
      </c>
      <c r="E105" s="2" t="s">
        <v>66</v>
      </c>
      <c r="F105" s="89">
        <v>960000</v>
      </c>
      <c r="G105" s="89"/>
      <c r="H105" s="89"/>
      <c r="I105" s="89"/>
      <c r="J105" s="3"/>
      <c r="K105" s="310">
        <v>2939413</v>
      </c>
      <c r="L105" s="311">
        <f t="shared" si="23"/>
        <v>0.32659582032194862</v>
      </c>
      <c r="M105" s="318" t="s">
        <v>202</v>
      </c>
    </row>
    <row r="106" spans="1:13" s="6" customFormat="1" ht="117" hidden="1" x14ac:dyDescent="0.35">
      <c r="A106" s="7">
        <v>9</v>
      </c>
      <c r="B106" s="21" t="s">
        <v>23</v>
      </c>
      <c r="C106" s="2" t="s">
        <v>203</v>
      </c>
      <c r="D106" s="2" t="s">
        <v>204</v>
      </c>
      <c r="E106" s="2" t="s">
        <v>205</v>
      </c>
      <c r="F106" s="89">
        <v>40000</v>
      </c>
      <c r="G106" s="89">
        <v>40000</v>
      </c>
      <c r="H106" s="89">
        <v>40000</v>
      </c>
      <c r="I106" s="89">
        <v>40000</v>
      </c>
      <c r="J106" s="3"/>
      <c r="K106" s="92">
        <v>40000</v>
      </c>
      <c r="L106" s="335">
        <f t="shared" si="23"/>
        <v>1</v>
      </c>
      <c r="M106" s="291"/>
    </row>
    <row r="107" spans="1:13" s="6" customFormat="1" ht="14.5" hidden="1" customHeight="1" x14ac:dyDescent="0.35">
      <c r="A107" s="493">
        <v>10</v>
      </c>
      <c r="B107" s="497" t="s">
        <v>23</v>
      </c>
      <c r="C107" s="512" t="s">
        <v>206</v>
      </c>
      <c r="D107" s="497" t="s">
        <v>207</v>
      </c>
      <c r="E107" s="2" t="s">
        <v>65</v>
      </c>
      <c r="F107" s="89">
        <v>175000</v>
      </c>
      <c r="G107" s="89"/>
      <c r="H107" s="89"/>
      <c r="I107" s="89"/>
      <c r="J107" s="3"/>
      <c r="K107" s="336">
        <v>175000</v>
      </c>
      <c r="L107" s="335">
        <f t="shared" si="23"/>
        <v>1</v>
      </c>
      <c r="M107" s="291"/>
    </row>
    <row r="108" spans="1:13" s="6" customFormat="1" ht="26" hidden="1" x14ac:dyDescent="0.35">
      <c r="A108" s="494"/>
      <c r="B108" s="498"/>
      <c r="C108" s="513"/>
      <c r="D108" s="498"/>
      <c r="E108" s="2" t="s">
        <v>208</v>
      </c>
      <c r="F108" s="89">
        <v>1484000</v>
      </c>
      <c r="G108" s="89"/>
      <c r="H108" s="89"/>
      <c r="I108" s="89"/>
      <c r="J108" s="3"/>
      <c r="K108" s="336">
        <v>1484000</v>
      </c>
      <c r="L108" s="335">
        <f t="shared" si="23"/>
        <v>1</v>
      </c>
      <c r="M108" s="291"/>
    </row>
    <row r="109" spans="1:13" s="6" customFormat="1" ht="14.5" hidden="1" customHeight="1" x14ac:dyDescent="0.35">
      <c r="A109" s="493">
        <v>11</v>
      </c>
      <c r="B109" s="497" t="s">
        <v>23</v>
      </c>
      <c r="C109" s="495" t="s">
        <v>209</v>
      </c>
      <c r="D109" s="497" t="s">
        <v>210</v>
      </c>
      <c r="E109" s="2" t="s">
        <v>211</v>
      </c>
      <c r="F109" s="89">
        <v>181760</v>
      </c>
      <c r="G109" s="89"/>
      <c r="H109" s="89"/>
      <c r="I109" s="89"/>
      <c r="J109" s="3"/>
      <c r="K109" s="337">
        <v>181760</v>
      </c>
      <c r="L109" s="335">
        <f t="shared" si="23"/>
        <v>1</v>
      </c>
      <c r="M109" s="291"/>
    </row>
    <row r="110" spans="1:13" s="6" customFormat="1" ht="26" hidden="1" x14ac:dyDescent="0.35">
      <c r="A110" s="494"/>
      <c r="B110" s="498"/>
      <c r="C110" s="496"/>
      <c r="D110" s="498"/>
      <c r="E110" s="2" t="s">
        <v>66</v>
      </c>
      <c r="F110" s="89">
        <v>219363</v>
      </c>
      <c r="G110" s="89">
        <v>219363</v>
      </c>
      <c r="H110" s="89">
        <v>219363</v>
      </c>
      <c r="I110" s="89">
        <v>219363</v>
      </c>
      <c r="J110" s="3"/>
      <c r="K110" s="338">
        <v>3882253</v>
      </c>
      <c r="L110" s="335">
        <f t="shared" si="23"/>
        <v>5.6504045460200561E-2</v>
      </c>
      <c r="M110" s="291"/>
    </row>
    <row r="111" spans="1:13" s="6" customFormat="1" ht="26" hidden="1" x14ac:dyDescent="0.35">
      <c r="A111" s="206">
        <v>12</v>
      </c>
      <c r="B111" s="207" t="s">
        <v>23</v>
      </c>
      <c r="C111" s="2" t="s">
        <v>212</v>
      </c>
      <c r="D111" s="21" t="s">
        <v>207</v>
      </c>
      <c r="E111" s="2" t="s">
        <v>67</v>
      </c>
      <c r="F111" s="89"/>
      <c r="G111" s="20">
        <v>3444715</v>
      </c>
      <c r="H111" s="84">
        <v>3244715</v>
      </c>
      <c r="I111" s="229">
        <v>3444715</v>
      </c>
      <c r="J111" s="3"/>
      <c r="K111" s="92">
        <v>40000000</v>
      </c>
      <c r="L111" s="335">
        <f t="shared" si="23"/>
        <v>0</v>
      </c>
      <c r="M111" s="291"/>
    </row>
    <row r="112" spans="1:13" s="6" customFormat="1" ht="26" hidden="1" x14ac:dyDescent="0.35">
      <c r="A112" s="206">
        <v>13</v>
      </c>
      <c r="B112" s="207" t="s">
        <v>23</v>
      </c>
      <c r="C112" s="2" t="s">
        <v>213</v>
      </c>
      <c r="D112" s="21" t="s">
        <v>207</v>
      </c>
      <c r="E112" s="2" t="s">
        <v>67</v>
      </c>
      <c r="F112" s="89"/>
      <c r="G112" s="20"/>
      <c r="H112" s="84">
        <v>200000</v>
      </c>
      <c r="I112" s="89"/>
      <c r="J112" s="3"/>
      <c r="K112" s="92">
        <v>0</v>
      </c>
      <c r="L112" s="335">
        <v>0</v>
      </c>
      <c r="M112" s="291"/>
    </row>
    <row r="113" spans="1:13" x14ac:dyDescent="0.3">
      <c r="A113" s="457" t="s">
        <v>214</v>
      </c>
      <c r="B113" s="458"/>
      <c r="C113" s="458"/>
      <c r="D113" s="458"/>
      <c r="E113" s="459"/>
      <c r="F113" s="39">
        <f>SUM(F120:F174)</f>
        <v>17108350</v>
      </c>
      <c r="G113" s="39">
        <f t="shared" ref="G113:I113" si="30">SUM(G120:G174)</f>
        <v>17108350</v>
      </c>
      <c r="H113" s="39">
        <f t="shared" si="30"/>
        <v>17108350</v>
      </c>
      <c r="I113" s="39">
        <f t="shared" si="30"/>
        <v>17108350</v>
      </c>
      <c r="J113" s="141"/>
      <c r="K113" s="226"/>
      <c r="L113" s="220"/>
      <c r="M113" s="142"/>
    </row>
    <row r="114" spans="1:13" x14ac:dyDescent="0.3">
      <c r="A114" s="460" t="s">
        <v>215</v>
      </c>
      <c r="B114" s="461"/>
      <c r="C114" s="461"/>
      <c r="D114" s="461"/>
      <c r="E114" s="462"/>
      <c r="F114" s="40">
        <v>17108350</v>
      </c>
      <c r="G114" s="86"/>
      <c r="H114" s="86"/>
      <c r="I114" s="86"/>
      <c r="J114" s="143"/>
      <c r="K114" s="227"/>
      <c r="L114" s="221"/>
      <c r="M114" s="144"/>
    </row>
    <row r="115" spans="1:13" x14ac:dyDescent="0.3">
      <c r="A115" s="463" t="s">
        <v>216</v>
      </c>
      <c r="B115" s="464"/>
      <c r="C115" s="464"/>
      <c r="D115" s="464"/>
      <c r="E115" s="465"/>
      <c r="F115" s="42">
        <f>F114-F113</f>
        <v>0</v>
      </c>
      <c r="G115" s="87"/>
      <c r="H115" s="87"/>
      <c r="I115" s="87"/>
      <c r="J115" s="143"/>
      <c r="K115" s="227"/>
      <c r="L115" s="221"/>
      <c r="M115" s="144"/>
    </row>
    <row r="116" spans="1:13" x14ac:dyDescent="0.3">
      <c r="A116" s="475" t="s">
        <v>65</v>
      </c>
      <c r="B116" s="476"/>
      <c r="C116" s="476"/>
      <c r="D116" s="476"/>
      <c r="E116" s="477"/>
      <c r="F116" s="363">
        <f>F130+F133+F134+F135+F136+F137+F138+F166+F159</f>
        <v>9692063</v>
      </c>
      <c r="G116" s="363">
        <f t="shared" ref="G116:I116" si="31">G130+G133+G134+G135+G136+G137+G138+G166+G159</f>
        <v>9692063</v>
      </c>
      <c r="H116" s="363">
        <f t="shared" si="31"/>
        <v>9692063</v>
      </c>
      <c r="I116" s="363">
        <f t="shared" si="31"/>
        <v>9692063</v>
      </c>
      <c r="J116" s="371"/>
      <c r="K116" s="368"/>
      <c r="L116" s="369"/>
      <c r="M116" s="366"/>
    </row>
    <row r="117" spans="1:13" x14ac:dyDescent="0.3">
      <c r="A117" s="475" t="s">
        <v>66</v>
      </c>
      <c r="B117" s="476"/>
      <c r="C117" s="476"/>
      <c r="D117" s="476"/>
      <c r="E117" s="477"/>
      <c r="F117" s="363">
        <f>F120+F121+F122+F123+F124+F125+F126+F127+F131+F139+F140+F141+F142+F143+F144+F145+F146+F152+F153+F154+F155+F156+F157+F160+F161+F162+F163+F167+F168+F169+F170+F171+F172</f>
        <v>4473240</v>
      </c>
      <c r="G117" s="363">
        <f t="shared" ref="G117:I117" si="32">G120+G121+G122+G123+G124+G125+G126+G127+G131+G139+G140+G141+G142+G143+G144+G145+G146+G152+G153+G154+G155+G156+G157+G160+G161+G162+G163+G167+G168+G169+G170+G171+G172</f>
        <v>4979476</v>
      </c>
      <c r="H117" s="363">
        <f t="shared" si="32"/>
        <v>4635945</v>
      </c>
      <c r="I117" s="363">
        <f t="shared" si="32"/>
        <v>4554924</v>
      </c>
      <c r="J117" s="327"/>
      <c r="K117" s="368"/>
      <c r="L117" s="369"/>
      <c r="M117" s="366"/>
    </row>
    <row r="118" spans="1:13" x14ac:dyDescent="0.3">
      <c r="A118" s="475" t="s">
        <v>67</v>
      </c>
      <c r="B118" s="476"/>
      <c r="C118" s="476"/>
      <c r="D118" s="476"/>
      <c r="E118" s="477"/>
      <c r="F118" s="363">
        <f>F165</f>
        <v>7495</v>
      </c>
      <c r="G118" s="363">
        <f t="shared" ref="G118:I118" si="33">G165</f>
        <v>7495</v>
      </c>
      <c r="H118" s="363">
        <f t="shared" si="33"/>
        <v>7495</v>
      </c>
      <c r="I118" s="363">
        <f t="shared" si="33"/>
        <v>7495</v>
      </c>
      <c r="J118" s="327"/>
      <c r="K118" s="368"/>
      <c r="L118" s="369"/>
      <c r="M118" s="366"/>
    </row>
    <row r="119" spans="1:13" x14ac:dyDescent="0.3">
      <c r="A119" s="475" t="s">
        <v>68</v>
      </c>
      <c r="B119" s="476"/>
      <c r="C119" s="476"/>
      <c r="D119" s="476"/>
      <c r="E119" s="477"/>
      <c r="F119" s="363">
        <f>F128+F129+F132+F147+F148+F149+F150+F151+F158+F164+F173+F174</f>
        <v>2935552</v>
      </c>
      <c r="G119" s="363">
        <f t="shared" ref="G119:I119" si="34">G128+G129+G132+G147+G148+G149+G150+G151+G158+G164+G173+G174</f>
        <v>2429316</v>
      </c>
      <c r="H119" s="363">
        <f t="shared" si="34"/>
        <v>2772847</v>
      </c>
      <c r="I119" s="363">
        <f t="shared" si="34"/>
        <v>2853868</v>
      </c>
      <c r="J119" s="327"/>
      <c r="K119" s="368"/>
      <c r="L119" s="369"/>
      <c r="M119" s="366"/>
    </row>
    <row r="120" spans="1:13" s="6" customFormat="1" ht="26" hidden="1" x14ac:dyDescent="0.35">
      <c r="A120" s="7">
        <v>1</v>
      </c>
      <c r="B120" s="21" t="s">
        <v>24</v>
      </c>
      <c r="C120" s="49" t="s">
        <v>217</v>
      </c>
      <c r="D120" s="49" t="s">
        <v>218</v>
      </c>
      <c r="E120" s="49" t="s">
        <v>66</v>
      </c>
      <c r="F120" s="90">
        <v>16600</v>
      </c>
      <c r="G120" s="91">
        <v>66400</v>
      </c>
      <c r="H120" s="91">
        <v>66400</v>
      </c>
      <c r="I120" s="91">
        <v>66400</v>
      </c>
      <c r="J120" s="53"/>
      <c r="K120" s="339">
        <v>246650</v>
      </c>
      <c r="L120" s="311">
        <f t="shared" ref="L120:L174" si="35">F120/K120</f>
        <v>6.730184471923778E-2</v>
      </c>
      <c r="M120" s="53" t="s">
        <v>219</v>
      </c>
    </row>
    <row r="121" spans="1:13" s="6" customFormat="1" ht="39" hidden="1" x14ac:dyDescent="0.35">
      <c r="A121" s="7">
        <v>2</v>
      </c>
      <c r="B121" s="21" t="s">
        <v>24</v>
      </c>
      <c r="C121" s="49" t="s">
        <v>220</v>
      </c>
      <c r="D121" s="49" t="s">
        <v>218</v>
      </c>
      <c r="E121" s="49" t="s">
        <v>66</v>
      </c>
      <c r="F121" s="90">
        <f>1718+1029+780</f>
        <v>3527</v>
      </c>
      <c r="G121" s="91"/>
      <c r="H121" s="91"/>
      <c r="I121" s="91"/>
      <c r="J121" s="53"/>
      <c r="K121" s="339">
        <v>35262</v>
      </c>
      <c r="L121" s="311">
        <f t="shared" si="35"/>
        <v>0.1000226873121207</v>
      </c>
      <c r="M121" s="53" t="s">
        <v>221</v>
      </c>
    </row>
    <row r="122" spans="1:13" s="6" customFormat="1" ht="39" hidden="1" x14ac:dyDescent="0.35">
      <c r="A122" s="7">
        <v>3</v>
      </c>
      <c r="B122" s="21" t="s">
        <v>24</v>
      </c>
      <c r="C122" s="49" t="s">
        <v>222</v>
      </c>
      <c r="D122" s="49" t="s">
        <v>218</v>
      </c>
      <c r="E122" s="49" t="s">
        <v>66</v>
      </c>
      <c r="F122" s="90">
        <v>626608</v>
      </c>
      <c r="G122" s="91">
        <v>812275</v>
      </c>
      <c r="H122" s="91">
        <v>400955</v>
      </c>
      <c r="I122" s="91">
        <v>235974</v>
      </c>
      <c r="J122" s="53"/>
      <c r="K122" s="339">
        <v>947482</v>
      </c>
      <c r="L122" s="311">
        <f t="shared" si="35"/>
        <v>0.66134026820562286</v>
      </c>
      <c r="M122" s="53" t="s">
        <v>223</v>
      </c>
    </row>
    <row r="123" spans="1:13" s="6" customFormat="1" ht="26" hidden="1" x14ac:dyDescent="0.35">
      <c r="A123" s="7">
        <v>4</v>
      </c>
      <c r="B123" s="21" t="s">
        <v>24</v>
      </c>
      <c r="C123" s="49" t="s">
        <v>224</v>
      </c>
      <c r="D123" s="49" t="s">
        <v>218</v>
      </c>
      <c r="E123" s="49" t="s">
        <v>66</v>
      </c>
      <c r="F123" s="90">
        <v>30000</v>
      </c>
      <c r="G123" s="91">
        <v>30000</v>
      </c>
      <c r="H123" s="91">
        <v>30000</v>
      </c>
      <c r="I123" s="91">
        <v>30000</v>
      </c>
      <c r="J123" s="53"/>
      <c r="K123" s="339">
        <v>100000</v>
      </c>
      <c r="L123" s="311">
        <f t="shared" si="35"/>
        <v>0.3</v>
      </c>
      <c r="M123" s="53" t="s">
        <v>225</v>
      </c>
    </row>
    <row r="124" spans="1:13" s="6" customFormat="1" ht="39" hidden="1" x14ac:dyDescent="0.35">
      <c r="A124" s="7">
        <v>5</v>
      </c>
      <c r="B124" s="21" t="s">
        <v>24</v>
      </c>
      <c r="C124" s="49" t="s">
        <v>226</v>
      </c>
      <c r="D124" s="49" t="s">
        <v>218</v>
      </c>
      <c r="E124" s="49" t="s">
        <v>66</v>
      </c>
      <c r="F124" s="90">
        <v>24570</v>
      </c>
      <c r="G124" s="91">
        <v>24570</v>
      </c>
      <c r="H124" s="91">
        <v>24570</v>
      </c>
      <c r="I124" s="91">
        <v>24570</v>
      </c>
      <c r="J124" s="53"/>
      <c r="K124" s="339">
        <v>81900</v>
      </c>
      <c r="L124" s="311">
        <f t="shared" si="35"/>
        <v>0.3</v>
      </c>
      <c r="M124" s="53" t="s">
        <v>227</v>
      </c>
    </row>
    <row r="125" spans="1:13" s="6" customFormat="1" ht="26" hidden="1" x14ac:dyDescent="0.35">
      <c r="A125" s="7">
        <v>6</v>
      </c>
      <c r="B125" s="21" t="s">
        <v>24</v>
      </c>
      <c r="C125" s="49" t="s">
        <v>228</v>
      </c>
      <c r="D125" s="49" t="s">
        <v>218</v>
      </c>
      <c r="E125" s="49" t="s">
        <v>66</v>
      </c>
      <c r="F125" s="90">
        <v>28700</v>
      </c>
      <c r="G125" s="91">
        <v>28900</v>
      </c>
      <c r="H125" s="91">
        <v>29200</v>
      </c>
      <c r="I125" s="91">
        <v>29200</v>
      </c>
      <c r="J125" s="53"/>
      <c r="K125" s="339">
        <v>67000</v>
      </c>
      <c r="L125" s="311">
        <f t="shared" si="35"/>
        <v>0.42835820895522386</v>
      </c>
      <c r="M125" s="53"/>
    </row>
    <row r="126" spans="1:13" s="6" customFormat="1" ht="26" hidden="1" x14ac:dyDescent="0.35">
      <c r="A126" s="7">
        <v>7</v>
      </c>
      <c r="B126" s="21" t="s">
        <v>24</v>
      </c>
      <c r="C126" s="49" t="s">
        <v>229</v>
      </c>
      <c r="D126" s="49" t="s">
        <v>218</v>
      </c>
      <c r="E126" s="49" t="s">
        <v>66</v>
      </c>
      <c r="F126" s="90">
        <v>17805</v>
      </c>
      <c r="G126" s="91">
        <v>21222</v>
      </c>
      <c r="H126" s="91">
        <v>21892</v>
      </c>
      <c r="I126" s="91">
        <v>21889</v>
      </c>
      <c r="J126" s="53"/>
      <c r="K126" s="339">
        <v>102244</v>
      </c>
      <c r="L126" s="311">
        <f t="shared" si="35"/>
        <v>0.17414224795587027</v>
      </c>
      <c r="M126" s="53" t="s">
        <v>230</v>
      </c>
    </row>
    <row r="127" spans="1:13" s="6" customFormat="1" ht="26" hidden="1" x14ac:dyDescent="0.35">
      <c r="A127" s="7">
        <v>8</v>
      </c>
      <c r="B127" s="21" t="s">
        <v>24</v>
      </c>
      <c r="C127" s="49" t="s">
        <v>231</v>
      </c>
      <c r="D127" s="49" t="s">
        <v>218</v>
      </c>
      <c r="E127" s="49" t="s">
        <v>66</v>
      </c>
      <c r="F127" s="90">
        <f>3000</f>
        <v>3000</v>
      </c>
      <c r="G127" s="91">
        <f>3000+75018</f>
        <v>78018</v>
      </c>
      <c r="H127" s="91">
        <v>319037</v>
      </c>
      <c r="I127" s="91">
        <v>403000</v>
      </c>
      <c r="J127" s="53" t="s">
        <v>232</v>
      </c>
      <c r="K127" s="339">
        <v>30000</v>
      </c>
      <c r="L127" s="311">
        <f t="shared" si="35"/>
        <v>0.1</v>
      </c>
      <c r="M127" s="53" t="s">
        <v>233</v>
      </c>
    </row>
    <row r="128" spans="1:13" s="6" customFormat="1" ht="26" hidden="1" x14ac:dyDescent="0.35">
      <c r="A128" s="7">
        <v>9</v>
      </c>
      <c r="B128" s="21" t="s">
        <v>24</v>
      </c>
      <c r="C128" s="49" t="s">
        <v>234</v>
      </c>
      <c r="D128" s="49" t="s">
        <v>218</v>
      </c>
      <c r="E128" s="49" t="s">
        <v>68</v>
      </c>
      <c r="F128" s="91">
        <v>0</v>
      </c>
      <c r="G128" s="91">
        <v>62515</v>
      </c>
      <c r="H128" s="91">
        <v>300000</v>
      </c>
      <c r="I128" s="91">
        <v>250000</v>
      </c>
      <c r="J128" s="53" t="s">
        <v>232</v>
      </c>
      <c r="K128" s="339">
        <v>0</v>
      </c>
      <c r="L128" s="311">
        <v>0</v>
      </c>
      <c r="M128" s="53" t="s">
        <v>235</v>
      </c>
    </row>
    <row r="129" spans="1:13" s="6" customFormat="1" ht="26" hidden="1" x14ac:dyDescent="0.35">
      <c r="A129" s="7">
        <v>10</v>
      </c>
      <c r="B129" s="21" t="s">
        <v>24</v>
      </c>
      <c r="C129" s="49" t="s">
        <v>236</v>
      </c>
      <c r="D129" s="49" t="s">
        <v>218</v>
      </c>
      <c r="E129" s="49" t="s">
        <v>68</v>
      </c>
      <c r="F129" s="91">
        <v>833328</v>
      </c>
      <c r="G129" s="91">
        <v>460238</v>
      </c>
      <c r="H129" s="91">
        <v>392084</v>
      </c>
      <c r="I129" s="91">
        <v>523105</v>
      </c>
      <c r="J129" s="53"/>
      <c r="K129" s="339">
        <v>912867</v>
      </c>
      <c r="L129" s="311">
        <f t="shared" si="35"/>
        <v>0.91286901596837222</v>
      </c>
      <c r="M129" s="53" t="s">
        <v>237</v>
      </c>
    </row>
    <row r="130" spans="1:13" s="6" customFormat="1" ht="24.75" hidden="1" customHeight="1" x14ac:dyDescent="0.35">
      <c r="A130" s="7">
        <v>11</v>
      </c>
      <c r="B130" s="21" t="s">
        <v>24</v>
      </c>
      <c r="C130" s="49" t="s">
        <v>238</v>
      </c>
      <c r="D130" s="49" t="s">
        <v>239</v>
      </c>
      <c r="E130" s="49" t="s">
        <v>65</v>
      </c>
      <c r="F130" s="90">
        <v>51700</v>
      </c>
      <c r="G130" s="91">
        <v>51700</v>
      </c>
      <c r="H130" s="91">
        <v>51700</v>
      </c>
      <c r="I130" s="91">
        <v>51700</v>
      </c>
      <c r="J130" s="53"/>
      <c r="K130" s="339">
        <v>1849087</v>
      </c>
      <c r="L130" s="311">
        <f t="shared" si="35"/>
        <v>2.7959744457670192E-2</v>
      </c>
      <c r="M130" s="53" t="s">
        <v>240</v>
      </c>
    </row>
    <row r="131" spans="1:13" s="6" customFormat="1" ht="104" hidden="1" x14ac:dyDescent="0.35">
      <c r="A131" s="7">
        <v>12</v>
      </c>
      <c r="B131" s="21" t="s">
        <v>24</v>
      </c>
      <c r="C131" s="49" t="s">
        <v>241</v>
      </c>
      <c r="D131" s="49" t="s">
        <v>239</v>
      </c>
      <c r="E131" s="49" t="s">
        <v>66</v>
      </c>
      <c r="F131" s="90">
        <v>33931</v>
      </c>
      <c r="G131" s="91">
        <v>33931</v>
      </c>
      <c r="H131" s="91">
        <v>33931</v>
      </c>
      <c r="I131" s="91">
        <v>33931</v>
      </c>
      <c r="J131" s="53"/>
      <c r="K131" s="339">
        <v>302872</v>
      </c>
      <c r="L131" s="311">
        <f t="shared" si="35"/>
        <v>0.11203082490292929</v>
      </c>
      <c r="M131" s="53" t="s">
        <v>242</v>
      </c>
    </row>
    <row r="132" spans="1:13" s="6" customFormat="1" ht="26" hidden="1" x14ac:dyDescent="0.35">
      <c r="A132" s="7">
        <v>13</v>
      </c>
      <c r="B132" s="21" t="s">
        <v>24</v>
      </c>
      <c r="C132" s="49" t="s">
        <v>243</v>
      </c>
      <c r="D132" s="49" t="s">
        <v>239</v>
      </c>
      <c r="E132" s="49" t="s">
        <v>68</v>
      </c>
      <c r="F132" s="91">
        <v>133000</v>
      </c>
      <c r="G132" s="91">
        <v>133000</v>
      </c>
      <c r="H132" s="91">
        <v>133000</v>
      </c>
      <c r="I132" s="91">
        <v>133000</v>
      </c>
      <c r="J132" s="53"/>
      <c r="K132" s="339">
        <v>133000</v>
      </c>
      <c r="L132" s="311">
        <f t="shared" si="35"/>
        <v>1</v>
      </c>
      <c r="M132" s="53" t="s">
        <v>244</v>
      </c>
    </row>
    <row r="133" spans="1:13" s="6" customFormat="1" ht="26" hidden="1" x14ac:dyDescent="0.35">
      <c r="A133" s="7">
        <v>14</v>
      </c>
      <c r="B133" s="21" t="s">
        <v>24</v>
      </c>
      <c r="C133" s="49" t="s">
        <v>238</v>
      </c>
      <c r="D133" s="49" t="s">
        <v>245</v>
      </c>
      <c r="E133" s="49" t="s">
        <v>65</v>
      </c>
      <c r="F133" s="90">
        <v>7845615</v>
      </c>
      <c r="G133" s="91">
        <v>7845615</v>
      </c>
      <c r="H133" s="91">
        <v>7845615</v>
      </c>
      <c r="I133" s="91">
        <v>7845615</v>
      </c>
      <c r="J133" s="53"/>
      <c r="K133" s="339">
        <v>86994295</v>
      </c>
      <c r="L133" s="311">
        <f t="shared" si="35"/>
        <v>9.0185396640090024E-2</v>
      </c>
      <c r="M133" s="53" t="s">
        <v>246</v>
      </c>
    </row>
    <row r="134" spans="1:13" s="6" customFormat="1" ht="26" hidden="1" x14ac:dyDescent="0.35">
      <c r="A134" s="7">
        <v>15</v>
      </c>
      <c r="B134" s="21" t="s">
        <v>24</v>
      </c>
      <c r="C134" s="49" t="s">
        <v>238</v>
      </c>
      <c r="D134" s="49" t="s">
        <v>245</v>
      </c>
      <c r="E134" s="49" t="s">
        <v>65</v>
      </c>
      <c r="F134" s="90">
        <v>959545</v>
      </c>
      <c r="G134" s="91">
        <v>959545</v>
      </c>
      <c r="H134" s="91">
        <v>959545</v>
      </c>
      <c r="I134" s="91">
        <v>959545</v>
      </c>
      <c r="J134" s="53"/>
      <c r="K134" s="339">
        <v>16617174</v>
      </c>
      <c r="L134" s="311">
        <f t="shared" si="35"/>
        <v>5.7744174791694421E-2</v>
      </c>
      <c r="M134" s="53" t="s">
        <v>247</v>
      </c>
    </row>
    <row r="135" spans="1:13" s="6" customFormat="1" ht="26" hidden="1" x14ac:dyDescent="0.35">
      <c r="A135" s="7">
        <v>16</v>
      </c>
      <c r="B135" s="21" t="s">
        <v>24</v>
      </c>
      <c r="C135" s="49" t="s">
        <v>248</v>
      </c>
      <c r="D135" s="49" t="s">
        <v>245</v>
      </c>
      <c r="E135" s="49" t="s">
        <v>65</v>
      </c>
      <c r="F135" s="90">
        <v>322415</v>
      </c>
      <c r="G135" s="91">
        <v>322415</v>
      </c>
      <c r="H135" s="91">
        <v>322415</v>
      </c>
      <c r="I135" s="91">
        <v>322415</v>
      </c>
      <c r="J135" s="53"/>
      <c r="K135" s="339">
        <v>322415</v>
      </c>
      <c r="L135" s="311">
        <f t="shared" si="35"/>
        <v>1</v>
      </c>
      <c r="M135" s="53" t="s">
        <v>249</v>
      </c>
    </row>
    <row r="136" spans="1:13" s="6" customFormat="1" ht="39" hidden="1" x14ac:dyDescent="0.35">
      <c r="A136" s="7">
        <v>17</v>
      </c>
      <c r="B136" s="21" t="s">
        <v>24</v>
      </c>
      <c r="C136" s="49" t="s">
        <v>238</v>
      </c>
      <c r="D136" s="49" t="s">
        <v>245</v>
      </c>
      <c r="E136" s="49" t="s">
        <v>65</v>
      </c>
      <c r="F136" s="90">
        <v>88336</v>
      </c>
      <c r="G136" s="91">
        <v>88336</v>
      </c>
      <c r="H136" s="91">
        <v>88336</v>
      </c>
      <c r="I136" s="91">
        <v>88336</v>
      </c>
      <c r="J136" s="53" t="s">
        <v>250</v>
      </c>
      <c r="K136" s="339">
        <v>88336</v>
      </c>
      <c r="L136" s="311">
        <f t="shared" si="35"/>
        <v>1</v>
      </c>
      <c r="M136" s="53" t="s">
        <v>251</v>
      </c>
    </row>
    <row r="137" spans="1:13" s="6" customFormat="1" ht="39" hidden="1" x14ac:dyDescent="0.35">
      <c r="A137" s="7">
        <v>18</v>
      </c>
      <c r="B137" s="21" t="s">
        <v>24</v>
      </c>
      <c r="C137" s="49" t="s">
        <v>238</v>
      </c>
      <c r="D137" s="49" t="s">
        <v>245</v>
      </c>
      <c r="E137" s="49" t="s">
        <v>65</v>
      </c>
      <c r="F137" s="90">
        <v>45026</v>
      </c>
      <c r="G137" s="91">
        <v>45026</v>
      </c>
      <c r="H137" s="91">
        <v>45026</v>
      </c>
      <c r="I137" s="91">
        <v>45026</v>
      </c>
      <c r="J137" s="53" t="s">
        <v>250</v>
      </c>
      <c r="K137" s="339">
        <v>45026</v>
      </c>
      <c r="L137" s="311">
        <f t="shared" si="35"/>
        <v>1</v>
      </c>
      <c r="M137" s="53" t="s">
        <v>252</v>
      </c>
    </row>
    <row r="138" spans="1:13" s="6" customFormat="1" ht="26" hidden="1" x14ac:dyDescent="0.35">
      <c r="A138" s="7">
        <v>19</v>
      </c>
      <c r="B138" s="21" t="s">
        <v>24</v>
      </c>
      <c r="C138" s="49" t="s">
        <v>238</v>
      </c>
      <c r="D138" s="49" t="s">
        <v>245</v>
      </c>
      <c r="E138" s="49" t="s">
        <v>65</v>
      </c>
      <c r="F138" s="90">
        <v>120108</v>
      </c>
      <c r="G138" s="91">
        <v>120108</v>
      </c>
      <c r="H138" s="91">
        <v>120108</v>
      </c>
      <c r="I138" s="91">
        <v>120108</v>
      </c>
      <c r="J138" s="53" t="s">
        <v>253</v>
      </c>
      <c r="K138" s="339">
        <v>729638</v>
      </c>
      <c r="L138" s="311">
        <f t="shared" si="35"/>
        <v>0.16461313692543425</v>
      </c>
      <c r="M138" s="53" t="s">
        <v>254</v>
      </c>
    </row>
    <row r="139" spans="1:13" s="6" customFormat="1" ht="26" hidden="1" x14ac:dyDescent="0.35">
      <c r="A139" s="7">
        <v>20</v>
      </c>
      <c r="B139" s="21" t="s">
        <v>24</v>
      </c>
      <c r="C139" s="49" t="s">
        <v>255</v>
      </c>
      <c r="D139" s="49" t="s">
        <v>245</v>
      </c>
      <c r="E139" s="49" t="s">
        <v>66</v>
      </c>
      <c r="F139" s="90">
        <v>14893</v>
      </c>
      <c r="G139" s="91">
        <v>11950</v>
      </c>
      <c r="H139" s="91">
        <v>11950</v>
      </c>
      <c r="I139" s="91">
        <v>11950</v>
      </c>
      <c r="J139" s="53" t="s">
        <v>253</v>
      </c>
      <c r="K139" s="339">
        <v>70607.640000000014</v>
      </c>
      <c r="L139" s="311">
        <f t="shared" si="35"/>
        <v>0.21092618305894373</v>
      </c>
      <c r="M139" s="53" t="s">
        <v>256</v>
      </c>
    </row>
    <row r="140" spans="1:13" s="6" customFormat="1" ht="26" hidden="1" x14ac:dyDescent="0.35">
      <c r="A140" s="7">
        <v>21</v>
      </c>
      <c r="B140" s="21" t="s">
        <v>24</v>
      </c>
      <c r="C140" s="49" t="s">
        <v>257</v>
      </c>
      <c r="D140" s="49" t="s">
        <v>245</v>
      </c>
      <c r="E140" s="49" t="s">
        <v>66</v>
      </c>
      <c r="F140" s="90">
        <v>227661</v>
      </c>
      <c r="G140" s="91">
        <v>227661</v>
      </c>
      <c r="H140" s="91">
        <v>227661</v>
      </c>
      <c r="I140" s="91">
        <v>227661</v>
      </c>
      <c r="J140" s="53"/>
      <c r="K140" s="339">
        <v>425458</v>
      </c>
      <c r="L140" s="311">
        <f t="shared" si="35"/>
        <v>0.53509629622665456</v>
      </c>
      <c r="M140" s="53" t="s">
        <v>258</v>
      </c>
    </row>
    <row r="141" spans="1:13" s="6" customFormat="1" ht="26" hidden="1" x14ac:dyDescent="0.35">
      <c r="A141" s="7">
        <v>22</v>
      </c>
      <c r="B141" s="21" t="s">
        <v>24</v>
      </c>
      <c r="C141" s="49" t="s">
        <v>226</v>
      </c>
      <c r="D141" s="49" t="s">
        <v>245</v>
      </c>
      <c r="E141" s="49" t="s">
        <v>66</v>
      </c>
      <c r="F141" s="90">
        <v>107000</v>
      </c>
      <c r="G141" s="91">
        <v>107000</v>
      </c>
      <c r="H141" s="91">
        <v>107000</v>
      </c>
      <c r="I141" s="91">
        <v>107000</v>
      </c>
      <c r="J141" s="53"/>
      <c r="K141" s="339">
        <v>231690</v>
      </c>
      <c r="L141" s="311">
        <f t="shared" si="35"/>
        <v>0.46182398895075316</v>
      </c>
      <c r="M141" s="53" t="s">
        <v>259</v>
      </c>
    </row>
    <row r="142" spans="1:13" s="6" customFormat="1" ht="26" hidden="1" x14ac:dyDescent="0.35">
      <c r="A142" s="7">
        <v>23</v>
      </c>
      <c r="B142" s="21" t="s">
        <v>24</v>
      </c>
      <c r="C142" s="49" t="s">
        <v>224</v>
      </c>
      <c r="D142" s="49" t="s">
        <v>245</v>
      </c>
      <c r="E142" s="49" t="s">
        <v>66</v>
      </c>
      <c r="F142" s="90">
        <v>92125</v>
      </c>
      <c r="G142" s="91">
        <v>92125</v>
      </c>
      <c r="H142" s="91">
        <v>92125</v>
      </c>
      <c r="I142" s="91">
        <v>92125</v>
      </c>
      <c r="J142" s="53"/>
      <c r="K142" s="339">
        <v>244400</v>
      </c>
      <c r="L142" s="311">
        <f t="shared" si="35"/>
        <v>0.37694353518821605</v>
      </c>
      <c r="M142" s="53" t="s">
        <v>260</v>
      </c>
    </row>
    <row r="143" spans="1:13" s="6" customFormat="1" ht="26" hidden="1" x14ac:dyDescent="0.35">
      <c r="A143" s="7">
        <v>24</v>
      </c>
      <c r="B143" s="21" t="s">
        <v>24</v>
      </c>
      <c r="C143" s="49" t="s">
        <v>261</v>
      </c>
      <c r="D143" s="49" t="s">
        <v>245</v>
      </c>
      <c r="E143" s="49" t="s">
        <v>66</v>
      </c>
      <c r="F143" s="90">
        <f>190000+121000+400000+237982</f>
        <v>948982</v>
      </c>
      <c r="G143" s="91">
        <f>F143</f>
        <v>948982</v>
      </c>
      <c r="H143" s="91">
        <f t="shared" ref="H143:I143" si="36">G143</f>
        <v>948982</v>
      </c>
      <c r="I143" s="91">
        <f t="shared" si="36"/>
        <v>948982</v>
      </c>
      <c r="J143" s="53"/>
      <c r="K143" s="339">
        <v>5081331.75</v>
      </c>
      <c r="L143" s="311">
        <f t="shared" si="35"/>
        <v>0.18675852053942354</v>
      </c>
      <c r="M143" s="53" t="s">
        <v>262</v>
      </c>
    </row>
    <row r="144" spans="1:13" s="6" customFormat="1" ht="26" hidden="1" x14ac:dyDescent="0.35">
      <c r="A144" s="7">
        <v>25</v>
      </c>
      <c r="B144" s="21" t="s">
        <v>24</v>
      </c>
      <c r="C144" s="49" t="s">
        <v>263</v>
      </c>
      <c r="D144" s="49" t="s">
        <v>245</v>
      </c>
      <c r="E144" s="49" t="s">
        <v>66</v>
      </c>
      <c r="F144" s="90">
        <f>200000+233219+151200+136036</f>
        <v>720455</v>
      </c>
      <c r="G144" s="91">
        <v>743455</v>
      </c>
      <c r="H144" s="91">
        <v>569255</v>
      </c>
      <c r="I144" s="91">
        <v>569255</v>
      </c>
      <c r="J144" s="53"/>
      <c r="K144" s="339">
        <v>4573512</v>
      </c>
      <c r="L144" s="311">
        <f t="shared" si="35"/>
        <v>0.15752773798341405</v>
      </c>
      <c r="M144" s="53" t="s">
        <v>264</v>
      </c>
    </row>
    <row r="145" spans="1:13" s="6" customFormat="1" ht="26" hidden="1" x14ac:dyDescent="0.35">
      <c r="A145" s="7">
        <v>26</v>
      </c>
      <c r="B145" s="21" t="s">
        <v>24</v>
      </c>
      <c r="C145" s="49" t="s">
        <v>265</v>
      </c>
      <c r="D145" s="49" t="s">
        <v>245</v>
      </c>
      <c r="E145" s="49" t="s">
        <v>66</v>
      </c>
      <c r="F145" s="90">
        <v>409000</v>
      </c>
      <c r="G145" s="91">
        <v>409000</v>
      </c>
      <c r="H145" s="91">
        <v>409000</v>
      </c>
      <c r="I145" s="91">
        <v>409000</v>
      </c>
      <c r="J145" s="53"/>
      <c r="K145" s="339">
        <v>2556140</v>
      </c>
      <c r="L145" s="311">
        <f t="shared" si="35"/>
        <v>0.16000688538186483</v>
      </c>
      <c r="M145" s="53" t="s">
        <v>266</v>
      </c>
    </row>
    <row r="146" spans="1:13" s="6" customFormat="1" ht="26" hidden="1" x14ac:dyDescent="0.35">
      <c r="A146" s="7">
        <v>27</v>
      </c>
      <c r="B146" s="21" t="s">
        <v>24</v>
      </c>
      <c r="C146" s="49" t="s">
        <v>248</v>
      </c>
      <c r="D146" s="49" t="s">
        <v>245</v>
      </c>
      <c r="E146" s="49" t="s">
        <v>66</v>
      </c>
      <c r="F146" s="90">
        <v>178003</v>
      </c>
      <c r="G146" s="91">
        <v>178003</v>
      </c>
      <c r="H146" s="91">
        <v>178003</v>
      </c>
      <c r="I146" s="91">
        <v>178003</v>
      </c>
      <c r="J146" s="53"/>
      <c r="K146" s="339">
        <v>178003</v>
      </c>
      <c r="L146" s="311">
        <f t="shared" si="35"/>
        <v>1</v>
      </c>
      <c r="M146" s="53" t="s">
        <v>267</v>
      </c>
    </row>
    <row r="147" spans="1:13" s="6" customFormat="1" ht="26" hidden="1" x14ac:dyDescent="0.35">
      <c r="A147" s="7">
        <v>28</v>
      </c>
      <c r="B147" s="21" t="s">
        <v>24</v>
      </c>
      <c r="C147" s="49" t="s">
        <v>268</v>
      </c>
      <c r="D147" s="49" t="s">
        <v>245</v>
      </c>
      <c r="E147" s="49" t="s">
        <v>68</v>
      </c>
      <c r="F147" s="91">
        <v>3600</v>
      </c>
      <c r="G147" s="91">
        <v>0</v>
      </c>
      <c r="H147" s="91">
        <v>0</v>
      </c>
      <c r="I147" s="91">
        <v>0</v>
      </c>
      <c r="J147" s="53" t="s">
        <v>253</v>
      </c>
      <c r="K147" s="339">
        <v>3600</v>
      </c>
      <c r="L147" s="311">
        <f t="shared" si="35"/>
        <v>1</v>
      </c>
      <c r="M147" s="53" t="s">
        <v>269</v>
      </c>
    </row>
    <row r="148" spans="1:13" s="6" customFormat="1" ht="26" hidden="1" x14ac:dyDescent="0.35">
      <c r="A148" s="7">
        <v>29</v>
      </c>
      <c r="B148" s="21" t="s">
        <v>24</v>
      </c>
      <c r="C148" s="49" t="s">
        <v>270</v>
      </c>
      <c r="D148" s="49" t="s">
        <v>245</v>
      </c>
      <c r="E148" s="49" t="s">
        <v>68</v>
      </c>
      <c r="F148" s="91">
        <v>417186</v>
      </c>
      <c r="G148" s="91">
        <v>1150729</v>
      </c>
      <c r="H148" s="91">
        <v>1324929</v>
      </c>
      <c r="I148" s="91">
        <v>1324929</v>
      </c>
      <c r="J148" s="53"/>
      <c r="K148" s="339">
        <v>3091545.5</v>
      </c>
      <c r="L148" s="311">
        <f t="shared" si="35"/>
        <v>0.13494415657152709</v>
      </c>
      <c r="M148" s="53" t="s">
        <v>271</v>
      </c>
    </row>
    <row r="149" spans="1:13" s="6" customFormat="1" ht="26" hidden="1" x14ac:dyDescent="0.35">
      <c r="A149" s="7">
        <v>30</v>
      </c>
      <c r="B149" s="21" t="s">
        <v>24</v>
      </c>
      <c r="C149" s="49" t="s">
        <v>272</v>
      </c>
      <c r="D149" s="49" t="s">
        <v>245</v>
      </c>
      <c r="E149" s="49" t="s">
        <v>68</v>
      </c>
      <c r="F149" s="91">
        <v>250000</v>
      </c>
      <c r="G149" s="91">
        <v>0</v>
      </c>
      <c r="H149" s="91">
        <v>0</v>
      </c>
      <c r="I149" s="91">
        <v>0</v>
      </c>
      <c r="J149" s="53"/>
      <c r="K149" s="339">
        <v>942084</v>
      </c>
      <c r="L149" s="311">
        <f t="shared" si="35"/>
        <v>0.26536911782813422</v>
      </c>
      <c r="M149" s="53" t="s">
        <v>273</v>
      </c>
    </row>
    <row r="150" spans="1:13" s="6" customFormat="1" ht="26" hidden="1" x14ac:dyDescent="0.35">
      <c r="A150" s="7">
        <v>31</v>
      </c>
      <c r="B150" s="21" t="s">
        <v>24</v>
      </c>
      <c r="C150" s="49" t="s">
        <v>274</v>
      </c>
      <c r="D150" s="49" t="s">
        <v>245</v>
      </c>
      <c r="E150" s="49" t="s">
        <v>68</v>
      </c>
      <c r="F150" s="91">
        <v>500000</v>
      </c>
      <c r="G150" s="91">
        <v>0</v>
      </c>
      <c r="H150" s="91">
        <v>0</v>
      </c>
      <c r="I150" s="91">
        <v>0</v>
      </c>
      <c r="J150" s="53"/>
      <c r="K150" s="339">
        <v>4872097</v>
      </c>
      <c r="L150" s="311">
        <f t="shared" si="35"/>
        <v>0.10262521456366736</v>
      </c>
      <c r="M150" s="53" t="s">
        <v>275</v>
      </c>
    </row>
    <row r="151" spans="1:13" s="6" customFormat="1" ht="39" hidden="1" x14ac:dyDescent="0.35">
      <c r="A151" s="7">
        <v>32</v>
      </c>
      <c r="B151" s="21" t="s">
        <v>24</v>
      </c>
      <c r="C151" s="49" t="s">
        <v>276</v>
      </c>
      <c r="D151" s="49" t="s">
        <v>245</v>
      </c>
      <c r="E151" s="49" t="s">
        <v>68</v>
      </c>
      <c r="F151" s="91">
        <v>139150</v>
      </c>
      <c r="G151" s="91">
        <v>139150</v>
      </c>
      <c r="H151" s="91">
        <v>139150</v>
      </c>
      <c r="I151" s="91">
        <v>139150</v>
      </c>
      <c r="J151" s="53"/>
      <c r="K151" s="339">
        <v>139150</v>
      </c>
      <c r="L151" s="311">
        <f t="shared" si="35"/>
        <v>1</v>
      </c>
      <c r="M151" s="53" t="s">
        <v>277</v>
      </c>
    </row>
    <row r="152" spans="1:13" s="6" customFormat="1" ht="39" hidden="1" x14ac:dyDescent="0.35">
      <c r="A152" s="7">
        <v>33</v>
      </c>
      <c r="B152" s="21" t="s">
        <v>24</v>
      </c>
      <c r="C152" s="49" t="s">
        <v>224</v>
      </c>
      <c r="D152" s="49" t="s">
        <v>278</v>
      </c>
      <c r="E152" s="49" t="s">
        <v>66</v>
      </c>
      <c r="F152" s="92">
        <v>7000</v>
      </c>
      <c r="G152" s="92">
        <f>F152</f>
        <v>7000</v>
      </c>
      <c r="H152" s="92">
        <f t="shared" ref="H152:I155" si="37">G152</f>
        <v>7000</v>
      </c>
      <c r="I152" s="92">
        <f t="shared" si="37"/>
        <v>7000</v>
      </c>
      <c r="J152" s="53"/>
      <c r="K152" s="339">
        <v>25000</v>
      </c>
      <c r="L152" s="311">
        <f t="shared" si="35"/>
        <v>0.28000000000000003</v>
      </c>
      <c r="M152" s="53" t="s">
        <v>260</v>
      </c>
    </row>
    <row r="153" spans="1:13" s="6" customFormat="1" ht="39" hidden="1" x14ac:dyDescent="0.35">
      <c r="A153" s="7">
        <v>34</v>
      </c>
      <c r="B153" s="21" t="s">
        <v>24</v>
      </c>
      <c r="C153" s="49" t="s">
        <v>226</v>
      </c>
      <c r="D153" s="49" t="s">
        <v>278</v>
      </c>
      <c r="E153" s="49" t="s">
        <v>66</v>
      </c>
      <c r="F153" s="92">
        <v>5000</v>
      </c>
      <c r="G153" s="92">
        <f>F153</f>
        <v>5000</v>
      </c>
      <c r="H153" s="92">
        <f t="shared" si="37"/>
        <v>5000</v>
      </c>
      <c r="I153" s="92">
        <f t="shared" si="37"/>
        <v>5000</v>
      </c>
      <c r="J153" s="53"/>
      <c r="K153" s="339">
        <v>30000</v>
      </c>
      <c r="L153" s="311">
        <f t="shared" si="35"/>
        <v>0.16666666666666666</v>
      </c>
      <c r="M153" s="53" t="s">
        <v>259</v>
      </c>
    </row>
    <row r="154" spans="1:13" s="6" customFormat="1" ht="39" hidden="1" x14ac:dyDescent="0.35">
      <c r="A154" s="7">
        <v>35</v>
      </c>
      <c r="B154" s="21" t="s">
        <v>24</v>
      </c>
      <c r="C154" s="49" t="s">
        <v>261</v>
      </c>
      <c r="D154" s="49" t="s">
        <v>278</v>
      </c>
      <c r="E154" s="49" t="s">
        <v>66</v>
      </c>
      <c r="F154" s="92">
        <v>32000</v>
      </c>
      <c r="G154" s="92">
        <f>F154</f>
        <v>32000</v>
      </c>
      <c r="H154" s="92">
        <f t="shared" si="37"/>
        <v>32000</v>
      </c>
      <c r="I154" s="92">
        <f t="shared" si="37"/>
        <v>32000</v>
      </c>
      <c r="J154" s="53"/>
      <c r="K154" s="339">
        <v>100000</v>
      </c>
      <c r="L154" s="311">
        <f t="shared" si="35"/>
        <v>0.32</v>
      </c>
      <c r="M154" s="53" t="s">
        <v>279</v>
      </c>
    </row>
    <row r="155" spans="1:13" s="6" customFormat="1" ht="39" hidden="1" x14ac:dyDescent="0.35">
      <c r="A155" s="7">
        <v>36</v>
      </c>
      <c r="B155" s="21" t="s">
        <v>24</v>
      </c>
      <c r="C155" s="49" t="s">
        <v>280</v>
      </c>
      <c r="D155" s="49" t="s">
        <v>278</v>
      </c>
      <c r="E155" s="49" t="s">
        <v>66</v>
      </c>
      <c r="F155" s="92">
        <v>10202</v>
      </c>
      <c r="G155" s="92">
        <f>F155</f>
        <v>10202</v>
      </c>
      <c r="H155" s="92">
        <f t="shared" si="37"/>
        <v>10202</v>
      </c>
      <c r="I155" s="92">
        <f t="shared" si="37"/>
        <v>10202</v>
      </c>
      <c r="J155" s="53"/>
      <c r="K155" s="339">
        <v>40000</v>
      </c>
      <c r="L155" s="311">
        <f t="shared" si="35"/>
        <v>0.25505</v>
      </c>
      <c r="M155" s="53"/>
    </row>
    <row r="156" spans="1:13" s="6" customFormat="1" ht="39" hidden="1" x14ac:dyDescent="0.35">
      <c r="A156" s="7">
        <v>37</v>
      </c>
      <c r="B156" s="21" t="s">
        <v>24</v>
      </c>
      <c r="C156" s="49" t="s">
        <v>281</v>
      </c>
      <c r="D156" s="49" t="s">
        <v>278</v>
      </c>
      <c r="E156" s="49" t="s">
        <v>66</v>
      </c>
      <c r="F156" s="92">
        <v>50000</v>
      </c>
      <c r="G156" s="92">
        <v>50000</v>
      </c>
      <c r="H156" s="92">
        <v>50000</v>
      </c>
      <c r="I156" s="92">
        <v>50000</v>
      </c>
      <c r="J156" s="53"/>
      <c r="K156" s="339">
        <v>115000</v>
      </c>
      <c r="L156" s="311">
        <f t="shared" si="35"/>
        <v>0.43478260869565216</v>
      </c>
      <c r="M156" s="53" t="s">
        <v>282</v>
      </c>
    </row>
    <row r="157" spans="1:13" s="6" customFormat="1" ht="39" hidden="1" x14ac:dyDescent="0.35">
      <c r="A157" s="7">
        <v>38</v>
      </c>
      <c r="B157" s="21" t="s">
        <v>24</v>
      </c>
      <c r="C157" s="49" t="s">
        <v>283</v>
      </c>
      <c r="D157" s="49" t="s">
        <v>278</v>
      </c>
      <c r="E157" s="49" t="s">
        <v>66</v>
      </c>
      <c r="F157" s="92">
        <v>10000</v>
      </c>
      <c r="G157" s="92">
        <v>10000</v>
      </c>
      <c r="H157" s="92">
        <v>10000</v>
      </c>
      <c r="I157" s="92">
        <v>10000</v>
      </c>
      <c r="J157" s="53"/>
      <c r="K157" s="339">
        <v>76572</v>
      </c>
      <c r="L157" s="311">
        <f t="shared" si="35"/>
        <v>0.13059604032805724</v>
      </c>
      <c r="M157" s="53" t="s">
        <v>284</v>
      </c>
    </row>
    <row r="158" spans="1:13" s="6" customFormat="1" ht="39" hidden="1" x14ac:dyDescent="0.35">
      <c r="A158" s="7">
        <v>39</v>
      </c>
      <c r="B158" s="21" t="s">
        <v>24</v>
      </c>
      <c r="C158" s="49" t="s">
        <v>285</v>
      </c>
      <c r="D158" s="49" t="s">
        <v>278</v>
      </c>
      <c r="E158" s="49" t="s">
        <v>68</v>
      </c>
      <c r="F158" s="92">
        <v>30000</v>
      </c>
      <c r="G158" s="92">
        <f>F158</f>
        <v>30000</v>
      </c>
      <c r="H158" s="92">
        <f t="shared" ref="H158:I159" si="38">G158</f>
        <v>30000</v>
      </c>
      <c r="I158" s="92">
        <f t="shared" si="38"/>
        <v>30000</v>
      </c>
      <c r="J158" s="53"/>
      <c r="K158" s="339">
        <v>50000</v>
      </c>
      <c r="L158" s="311">
        <f t="shared" si="35"/>
        <v>0.6</v>
      </c>
      <c r="M158" s="53" t="s">
        <v>286</v>
      </c>
    </row>
    <row r="159" spans="1:13" s="6" customFormat="1" ht="26" hidden="1" x14ac:dyDescent="0.35">
      <c r="A159" s="7">
        <v>40</v>
      </c>
      <c r="B159" s="21" t="s">
        <v>24</v>
      </c>
      <c r="C159" s="49" t="s">
        <v>238</v>
      </c>
      <c r="D159" s="49" t="s">
        <v>287</v>
      </c>
      <c r="E159" s="49" t="s">
        <v>65</v>
      </c>
      <c r="F159" s="93">
        <v>60635</v>
      </c>
      <c r="G159" s="94">
        <f>F159</f>
        <v>60635</v>
      </c>
      <c r="H159" s="94">
        <f t="shared" si="38"/>
        <v>60635</v>
      </c>
      <c r="I159" s="94">
        <f t="shared" si="38"/>
        <v>60635</v>
      </c>
      <c r="J159" s="53"/>
      <c r="K159" s="340">
        <v>831118</v>
      </c>
      <c r="L159" s="311">
        <f t="shared" si="35"/>
        <v>7.2955946087077894E-2</v>
      </c>
      <c r="M159" s="53" t="s">
        <v>288</v>
      </c>
    </row>
    <row r="160" spans="1:13" s="6" customFormat="1" ht="26" hidden="1" x14ac:dyDescent="0.35">
      <c r="A160" s="7">
        <v>41</v>
      </c>
      <c r="B160" s="21" t="s">
        <v>24</v>
      </c>
      <c r="C160" s="49" t="s">
        <v>261</v>
      </c>
      <c r="D160" s="49" t="s">
        <v>287</v>
      </c>
      <c r="E160" s="49" t="s">
        <v>66</v>
      </c>
      <c r="F160" s="90">
        <f>2050+1350</f>
        <v>3400</v>
      </c>
      <c r="G160" s="91">
        <f t="shared" ref="G160:I160" si="39">2050+1350</f>
        <v>3400</v>
      </c>
      <c r="H160" s="91">
        <f t="shared" si="39"/>
        <v>3400</v>
      </c>
      <c r="I160" s="91">
        <f t="shared" si="39"/>
        <v>3400</v>
      </c>
      <c r="J160" s="53"/>
      <c r="K160" s="340">
        <v>12135</v>
      </c>
      <c r="L160" s="311">
        <f t="shared" si="35"/>
        <v>0.28018129377832718</v>
      </c>
      <c r="M160" s="53" t="s">
        <v>289</v>
      </c>
    </row>
    <row r="161" spans="1:13" s="6" customFormat="1" ht="26" hidden="1" x14ac:dyDescent="0.35">
      <c r="A161" s="7">
        <v>42</v>
      </c>
      <c r="B161" s="21" t="s">
        <v>24</v>
      </c>
      <c r="C161" s="49" t="s">
        <v>290</v>
      </c>
      <c r="D161" s="49" t="s">
        <v>287</v>
      </c>
      <c r="E161" s="49" t="s">
        <v>66</v>
      </c>
      <c r="F161" s="90">
        <f>200+875+300+597</f>
        <v>1972</v>
      </c>
      <c r="G161" s="91">
        <f t="shared" ref="G161:I161" si="40">200+875+300+597</f>
        <v>1972</v>
      </c>
      <c r="H161" s="91">
        <f t="shared" si="40"/>
        <v>1972</v>
      </c>
      <c r="I161" s="91">
        <f t="shared" si="40"/>
        <v>1972</v>
      </c>
      <c r="J161" s="53"/>
      <c r="K161" s="340">
        <v>4000</v>
      </c>
      <c r="L161" s="311">
        <f t="shared" si="35"/>
        <v>0.49299999999999999</v>
      </c>
      <c r="M161" s="53" t="s">
        <v>291</v>
      </c>
    </row>
    <row r="162" spans="1:13" s="6" customFormat="1" ht="26" hidden="1" x14ac:dyDescent="0.35">
      <c r="A162" s="7">
        <v>43</v>
      </c>
      <c r="B162" s="21" t="s">
        <v>24</v>
      </c>
      <c r="C162" s="49" t="s">
        <v>292</v>
      </c>
      <c r="D162" s="49" t="s">
        <v>287</v>
      </c>
      <c r="E162" s="49" t="s">
        <v>66</v>
      </c>
      <c r="F162" s="90">
        <f>60+165</f>
        <v>225</v>
      </c>
      <c r="G162" s="91">
        <f t="shared" ref="G162:I162" si="41">60+165</f>
        <v>225</v>
      </c>
      <c r="H162" s="91">
        <f t="shared" si="41"/>
        <v>225</v>
      </c>
      <c r="I162" s="91">
        <f t="shared" si="41"/>
        <v>225</v>
      </c>
      <c r="J162" s="53"/>
      <c r="K162" s="340">
        <v>3630</v>
      </c>
      <c r="L162" s="311">
        <f t="shared" si="35"/>
        <v>6.1983471074380167E-2</v>
      </c>
      <c r="M162" s="53" t="s">
        <v>293</v>
      </c>
    </row>
    <row r="163" spans="1:13" s="6" customFormat="1" ht="26" hidden="1" x14ac:dyDescent="0.35">
      <c r="A163" s="7">
        <v>44</v>
      </c>
      <c r="B163" s="21" t="s">
        <v>24</v>
      </c>
      <c r="C163" s="49" t="s">
        <v>294</v>
      </c>
      <c r="D163" s="49" t="s">
        <v>287</v>
      </c>
      <c r="E163" s="49" t="s">
        <v>66</v>
      </c>
      <c r="F163" s="90">
        <f>10205+1000+10000-10871</f>
        <v>10334</v>
      </c>
      <c r="G163" s="91">
        <f t="shared" ref="G163:I163" si="42">10205+1000+10000</f>
        <v>21205</v>
      </c>
      <c r="H163" s="91">
        <f t="shared" si="42"/>
        <v>21205</v>
      </c>
      <c r="I163" s="91">
        <f t="shared" si="42"/>
        <v>21205</v>
      </c>
      <c r="J163" s="53"/>
      <c r="K163" s="340">
        <v>23857</v>
      </c>
      <c r="L163" s="311">
        <f t="shared" si="35"/>
        <v>0.43316427044473321</v>
      </c>
      <c r="M163" s="53" t="s">
        <v>295</v>
      </c>
    </row>
    <row r="164" spans="1:13" s="6" customFormat="1" ht="26" hidden="1" x14ac:dyDescent="0.35">
      <c r="A164" s="7">
        <v>45</v>
      </c>
      <c r="B164" s="21" t="s">
        <v>24</v>
      </c>
      <c r="C164" s="49" t="s">
        <v>296</v>
      </c>
      <c r="D164" s="49" t="s">
        <v>287</v>
      </c>
      <c r="E164" s="49" t="s">
        <v>68</v>
      </c>
      <c r="F164" s="93">
        <v>10871</v>
      </c>
      <c r="G164" s="94">
        <v>0</v>
      </c>
      <c r="H164" s="94">
        <v>0</v>
      </c>
      <c r="I164" s="94">
        <v>0</v>
      </c>
      <c r="J164" s="53"/>
      <c r="K164" s="340">
        <v>10871</v>
      </c>
      <c r="L164" s="311">
        <f t="shared" si="35"/>
        <v>1</v>
      </c>
      <c r="M164" s="53" t="s">
        <v>297</v>
      </c>
    </row>
    <row r="165" spans="1:13" s="6" customFormat="1" ht="39" hidden="1" x14ac:dyDescent="0.35">
      <c r="A165" s="7">
        <v>46</v>
      </c>
      <c r="B165" s="21" t="s">
        <v>24</v>
      </c>
      <c r="C165" s="49" t="s">
        <v>298</v>
      </c>
      <c r="D165" s="49" t="s">
        <v>299</v>
      </c>
      <c r="E165" s="49" t="s">
        <v>67</v>
      </c>
      <c r="F165" s="94">
        <v>7495</v>
      </c>
      <c r="G165" s="94">
        <f>F165</f>
        <v>7495</v>
      </c>
      <c r="H165" s="94">
        <f t="shared" ref="H165:I165" si="43">G165</f>
        <v>7495</v>
      </c>
      <c r="I165" s="94">
        <f t="shared" si="43"/>
        <v>7495</v>
      </c>
      <c r="J165" s="53"/>
      <c r="K165" s="340">
        <v>86722</v>
      </c>
      <c r="L165" s="311">
        <f t="shared" si="35"/>
        <v>8.6425589815733034E-2</v>
      </c>
      <c r="M165" s="53" t="s">
        <v>300</v>
      </c>
    </row>
    <row r="166" spans="1:13" s="6" customFormat="1" ht="26" hidden="1" x14ac:dyDescent="0.35">
      <c r="A166" s="7">
        <v>47</v>
      </c>
      <c r="B166" s="21" t="s">
        <v>24</v>
      </c>
      <c r="C166" s="49" t="s">
        <v>238</v>
      </c>
      <c r="D166" s="49" t="s">
        <v>210</v>
      </c>
      <c r="E166" s="49" t="s">
        <v>65</v>
      </c>
      <c r="F166" s="93">
        <v>198683</v>
      </c>
      <c r="G166" s="94">
        <v>198683</v>
      </c>
      <c r="H166" s="94">
        <v>198683</v>
      </c>
      <c r="I166" s="94">
        <v>198683</v>
      </c>
      <c r="J166" s="53"/>
      <c r="K166" s="340">
        <v>15360804</v>
      </c>
      <c r="L166" s="311">
        <f t="shared" si="35"/>
        <v>1.2934414110094758E-2</v>
      </c>
      <c r="M166" s="53" t="s">
        <v>301</v>
      </c>
    </row>
    <row r="167" spans="1:13" s="6" customFormat="1" ht="26" hidden="1" x14ac:dyDescent="0.35">
      <c r="A167" s="7">
        <v>48</v>
      </c>
      <c r="B167" s="21" t="s">
        <v>24</v>
      </c>
      <c r="C167" s="49" t="s">
        <v>224</v>
      </c>
      <c r="D167" s="49" t="s">
        <v>210</v>
      </c>
      <c r="E167" s="49" t="s">
        <v>66</v>
      </c>
      <c r="F167" s="93">
        <v>160940</v>
      </c>
      <c r="G167" s="94">
        <v>160940</v>
      </c>
      <c r="H167" s="94">
        <v>160940</v>
      </c>
      <c r="I167" s="94">
        <v>160940</v>
      </c>
      <c r="J167" s="53"/>
      <c r="K167" s="340">
        <v>533800</v>
      </c>
      <c r="L167" s="311">
        <f t="shared" si="35"/>
        <v>0.30149868864743351</v>
      </c>
      <c r="M167" s="53" t="s">
        <v>260</v>
      </c>
    </row>
    <row r="168" spans="1:13" s="6" customFormat="1" ht="26" hidden="1" x14ac:dyDescent="0.35">
      <c r="A168" s="7">
        <v>49</v>
      </c>
      <c r="B168" s="21" t="s">
        <v>24</v>
      </c>
      <c r="C168" s="49" t="s">
        <v>302</v>
      </c>
      <c r="D168" s="49" t="s">
        <v>210</v>
      </c>
      <c r="E168" s="49" t="s">
        <v>66</v>
      </c>
      <c r="F168" s="93">
        <v>195361</v>
      </c>
      <c r="G168" s="94">
        <v>347973</v>
      </c>
      <c r="H168" s="94">
        <f>G168</f>
        <v>347973</v>
      </c>
      <c r="I168" s="94">
        <f>H168</f>
        <v>347973</v>
      </c>
      <c r="J168" s="53"/>
      <c r="K168" s="340">
        <v>497829</v>
      </c>
      <c r="L168" s="311">
        <f t="shared" si="35"/>
        <v>0.39242591331561638</v>
      </c>
      <c r="M168" s="53" t="s">
        <v>303</v>
      </c>
    </row>
    <row r="169" spans="1:13" s="6" customFormat="1" ht="26" hidden="1" x14ac:dyDescent="0.35">
      <c r="A169" s="7">
        <v>50</v>
      </c>
      <c r="B169" s="21" t="s">
        <v>24</v>
      </c>
      <c r="C169" s="49" t="s">
        <v>261</v>
      </c>
      <c r="D169" s="49" t="s">
        <v>210</v>
      </c>
      <c r="E169" s="49" t="s">
        <v>66</v>
      </c>
      <c r="F169" s="93">
        <f>107800+40467</f>
        <v>148267</v>
      </c>
      <c r="G169" s="94">
        <f>F169</f>
        <v>148267</v>
      </c>
      <c r="H169" s="94">
        <f t="shared" ref="H169:I170" si="44">G169</f>
        <v>148267</v>
      </c>
      <c r="I169" s="94">
        <f t="shared" si="44"/>
        <v>148267</v>
      </c>
      <c r="J169" s="53"/>
      <c r="K169" s="340">
        <v>1113660</v>
      </c>
      <c r="L169" s="311">
        <f t="shared" si="35"/>
        <v>0.13313488856563044</v>
      </c>
      <c r="M169" s="53" t="s">
        <v>304</v>
      </c>
    </row>
    <row r="170" spans="1:13" s="6" customFormat="1" ht="26" hidden="1" x14ac:dyDescent="0.35">
      <c r="A170" s="7">
        <v>51</v>
      </c>
      <c r="B170" s="21" t="s">
        <v>24</v>
      </c>
      <c r="C170" s="49" t="s">
        <v>280</v>
      </c>
      <c r="D170" s="49" t="s">
        <v>210</v>
      </c>
      <c r="E170" s="49" t="s">
        <v>66</v>
      </c>
      <c r="F170" s="93">
        <f>243211+32512</f>
        <v>275723</v>
      </c>
      <c r="G170" s="94">
        <v>285300</v>
      </c>
      <c r="H170" s="94">
        <f t="shared" si="44"/>
        <v>285300</v>
      </c>
      <c r="I170" s="94">
        <f t="shared" si="44"/>
        <v>285300</v>
      </c>
      <c r="J170" s="53"/>
      <c r="K170" s="340">
        <v>614680</v>
      </c>
      <c r="L170" s="311">
        <f t="shared" si="35"/>
        <v>0.44856348018481162</v>
      </c>
      <c r="M170" s="53" t="s">
        <v>305</v>
      </c>
    </row>
    <row r="171" spans="1:13" s="6" customFormat="1" ht="26" hidden="1" x14ac:dyDescent="0.35">
      <c r="A171" s="7">
        <v>52</v>
      </c>
      <c r="B171" s="21" t="s">
        <v>24</v>
      </c>
      <c r="C171" s="49" t="s">
        <v>226</v>
      </c>
      <c r="D171" s="49" t="s">
        <v>210</v>
      </c>
      <c r="E171" s="49" t="s">
        <v>66</v>
      </c>
      <c r="F171" s="93">
        <v>50000</v>
      </c>
      <c r="G171" s="94">
        <v>50000</v>
      </c>
      <c r="H171" s="94">
        <v>50000</v>
      </c>
      <c r="I171" s="94">
        <v>50000</v>
      </c>
      <c r="J171" s="53"/>
      <c r="K171" s="340">
        <v>70000</v>
      </c>
      <c r="L171" s="311">
        <f t="shared" si="35"/>
        <v>0.7142857142857143</v>
      </c>
      <c r="M171" s="53" t="s">
        <v>259</v>
      </c>
    </row>
    <row r="172" spans="1:13" s="6" customFormat="1" ht="26" hidden="1" x14ac:dyDescent="0.35">
      <c r="A172" s="7">
        <v>53</v>
      </c>
      <c r="B172" s="21" t="s">
        <v>24</v>
      </c>
      <c r="C172" s="49" t="s">
        <v>306</v>
      </c>
      <c r="D172" s="49" t="s">
        <v>210</v>
      </c>
      <c r="E172" s="49" t="s">
        <v>66</v>
      </c>
      <c r="F172" s="93">
        <f>22130+7826</f>
        <v>29956</v>
      </c>
      <c r="G172" s="94">
        <v>32500</v>
      </c>
      <c r="H172" s="94">
        <v>32500</v>
      </c>
      <c r="I172" s="94">
        <v>32500</v>
      </c>
      <c r="J172" s="53"/>
      <c r="K172" s="340">
        <v>133764</v>
      </c>
      <c r="L172" s="311">
        <f t="shared" si="35"/>
        <v>0.2239466523130289</v>
      </c>
      <c r="M172" s="53" t="s">
        <v>307</v>
      </c>
    </row>
    <row r="173" spans="1:13" s="6" customFormat="1" ht="26" hidden="1" x14ac:dyDescent="0.35">
      <c r="A173" s="7">
        <v>54</v>
      </c>
      <c r="B173" s="21" t="s">
        <v>24</v>
      </c>
      <c r="C173" s="49" t="s">
        <v>308</v>
      </c>
      <c r="D173" s="49" t="s">
        <v>210</v>
      </c>
      <c r="E173" s="49" t="s">
        <v>68</v>
      </c>
      <c r="F173" s="94">
        <v>28000</v>
      </c>
      <c r="G173" s="94">
        <f>F173</f>
        <v>28000</v>
      </c>
      <c r="H173" s="94">
        <f t="shared" ref="H173:I173" si="45">G173</f>
        <v>28000</v>
      </c>
      <c r="I173" s="94">
        <f t="shared" si="45"/>
        <v>28000</v>
      </c>
      <c r="J173" s="53"/>
      <c r="K173" s="340">
        <v>35000</v>
      </c>
      <c r="L173" s="311">
        <f t="shared" si="35"/>
        <v>0.8</v>
      </c>
      <c r="M173" s="53" t="s">
        <v>309</v>
      </c>
    </row>
    <row r="174" spans="1:13" s="6" customFormat="1" ht="26" hidden="1" x14ac:dyDescent="0.35">
      <c r="A174" s="7">
        <v>55</v>
      </c>
      <c r="B174" s="21" t="s">
        <v>24</v>
      </c>
      <c r="C174" s="49" t="s">
        <v>310</v>
      </c>
      <c r="D174" s="49" t="s">
        <v>210</v>
      </c>
      <c r="E174" s="49" t="s">
        <v>68</v>
      </c>
      <c r="F174" s="94">
        <v>590417</v>
      </c>
      <c r="G174" s="94">
        <f>439684-14000</f>
        <v>425684</v>
      </c>
      <c r="H174" s="94">
        <f>G174</f>
        <v>425684</v>
      </c>
      <c r="I174" s="94">
        <f>H174</f>
        <v>425684</v>
      </c>
      <c r="J174" s="53"/>
      <c r="K174" s="340">
        <v>703410</v>
      </c>
      <c r="L174" s="311">
        <f t="shared" si="35"/>
        <v>0.83936395558777954</v>
      </c>
      <c r="M174" s="53" t="s">
        <v>311</v>
      </c>
    </row>
    <row r="175" spans="1:13" x14ac:dyDescent="0.3">
      <c r="A175" s="457" t="s">
        <v>312</v>
      </c>
      <c r="B175" s="458"/>
      <c r="C175" s="458"/>
      <c r="D175" s="458"/>
      <c r="E175" s="459"/>
      <c r="F175" s="39">
        <f>SUM(F181:F190)</f>
        <v>521275</v>
      </c>
      <c r="G175" s="39">
        <f t="shared" ref="G175:I175" si="46">SUM(G181:G190)</f>
        <v>521275</v>
      </c>
      <c r="H175" s="39">
        <f t="shared" si="46"/>
        <v>521275</v>
      </c>
      <c r="I175" s="39">
        <f t="shared" si="46"/>
        <v>521275</v>
      </c>
      <c r="J175" s="141"/>
      <c r="K175" s="341"/>
      <c r="L175" s="342"/>
      <c r="M175" s="142"/>
    </row>
    <row r="176" spans="1:13" x14ac:dyDescent="0.3">
      <c r="A176" s="460" t="s">
        <v>313</v>
      </c>
      <c r="B176" s="461"/>
      <c r="C176" s="461"/>
      <c r="D176" s="461"/>
      <c r="E176" s="462"/>
      <c r="F176" s="40">
        <v>521275</v>
      </c>
      <c r="G176" s="86"/>
      <c r="H176" s="86"/>
      <c r="I176" s="86"/>
      <c r="J176" s="143"/>
      <c r="K176" s="343"/>
      <c r="L176" s="344"/>
      <c r="M176" s="144"/>
    </row>
    <row r="177" spans="1:13" x14ac:dyDescent="0.3">
      <c r="A177" s="463" t="s">
        <v>314</v>
      </c>
      <c r="B177" s="464"/>
      <c r="C177" s="464"/>
      <c r="D177" s="464"/>
      <c r="E177" s="465"/>
      <c r="F177" s="42">
        <f>F176-F175</f>
        <v>0</v>
      </c>
      <c r="G177" s="87"/>
      <c r="H177" s="87"/>
      <c r="I177" s="87"/>
      <c r="J177" s="143"/>
      <c r="K177" s="343"/>
      <c r="L177" s="344"/>
      <c r="M177" s="144"/>
    </row>
    <row r="178" spans="1:13" x14ac:dyDescent="0.3">
      <c r="A178" s="475" t="s">
        <v>65</v>
      </c>
      <c r="B178" s="476"/>
      <c r="C178" s="476"/>
      <c r="D178" s="476"/>
      <c r="E178" s="477"/>
      <c r="F178" s="363">
        <f>F182+F183+F184+F186+F189+F190</f>
        <v>408416</v>
      </c>
      <c r="G178" s="363">
        <f t="shared" ref="G178:I178" si="47">G182+G183+G184+G186+G189+G190</f>
        <v>408416</v>
      </c>
      <c r="H178" s="363">
        <f t="shared" si="47"/>
        <v>408416</v>
      </c>
      <c r="I178" s="363">
        <f t="shared" si="47"/>
        <v>408416</v>
      </c>
      <c r="J178" s="327"/>
      <c r="K178" s="372"/>
      <c r="L178" s="373"/>
      <c r="M178" s="366"/>
    </row>
    <row r="179" spans="1:13" x14ac:dyDescent="0.3">
      <c r="A179" s="475" t="s">
        <v>66</v>
      </c>
      <c r="B179" s="476"/>
      <c r="C179" s="476"/>
      <c r="D179" s="476"/>
      <c r="E179" s="477"/>
      <c r="F179" s="363">
        <f>F181+F188</f>
        <v>5643</v>
      </c>
      <c r="G179" s="363">
        <f t="shared" ref="G179:I179" si="48">G181+G188</f>
        <v>5643</v>
      </c>
      <c r="H179" s="363">
        <f t="shared" si="48"/>
        <v>5643</v>
      </c>
      <c r="I179" s="363">
        <f t="shared" si="48"/>
        <v>5643</v>
      </c>
      <c r="J179" s="327"/>
      <c r="K179" s="372"/>
      <c r="L179" s="373"/>
      <c r="M179" s="366"/>
    </row>
    <row r="180" spans="1:13" x14ac:dyDescent="0.3">
      <c r="A180" s="475" t="s">
        <v>68</v>
      </c>
      <c r="B180" s="476"/>
      <c r="C180" s="476"/>
      <c r="D180" s="476"/>
      <c r="E180" s="477"/>
      <c r="F180" s="363">
        <f>F185+F187</f>
        <v>107216</v>
      </c>
      <c r="G180" s="363">
        <f t="shared" ref="G180:I180" si="49">G185+G187</f>
        <v>107216</v>
      </c>
      <c r="H180" s="363">
        <f t="shared" si="49"/>
        <v>107216</v>
      </c>
      <c r="I180" s="363">
        <f t="shared" si="49"/>
        <v>107216</v>
      </c>
      <c r="J180" s="327"/>
      <c r="K180" s="372"/>
      <c r="L180" s="373"/>
      <c r="M180" s="366"/>
    </row>
    <row r="181" spans="1:13" s="6" customFormat="1" ht="39" hidden="1" x14ac:dyDescent="0.35">
      <c r="A181" s="7">
        <v>1</v>
      </c>
      <c r="B181" s="7" t="s">
        <v>25</v>
      </c>
      <c r="C181" s="314" t="s">
        <v>1004</v>
      </c>
      <c r="D181" s="8" t="s">
        <v>315</v>
      </c>
      <c r="E181" s="8" t="s">
        <v>66</v>
      </c>
      <c r="F181" s="84">
        <v>3800</v>
      </c>
      <c r="G181" s="20">
        <v>3800</v>
      </c>
      <c r="H181" s="20">
        <v>3800</v>
      </c>
      <c r="I181" s="20">
        <v>3800</v>
      </c>
      <c r="J181" s="10"/>
      <c r="K181" s="308">
        <v>385642</v>
      </c>
      <c r="L181" s="309">
        <f t="shared" ref="L181:L205" si="50">F181/K181</f>
        <v>9.8536985079426005E-3</v>
      </c>
      <c r="M181" s="130" t="s">
        <v>316</v>
      </c>
    </row>
    <row r="182" spans="1:13" s="6" customFormat="1" hidden="1" x14ac:dyDescent="0.35">
      <c r="A182" s="7">
        <v>2</v>
      </c>
      <c r="B182" s="7" t="s">
        <v>25</v>
      </c>
      <c r="C182" s="314" t="s">
        <v>317</v>
      </c>
      <c r="D182" s="8" t="s">
        <v>318</v>
      </c>
      <c r="E182" s="8" t="s">
        <v>319</v>
      </c>
      <c r="F182" s="84">
        <v>85674</v>
      </c>
      <c r="G182" s="20">
        <v>85674</v>
      </c>
      <c r="H182" s="20">
        <v>85674</v>
      </c>
      <c r="I182" s="20">
        <v>85674</v>
      </c>
      <c r="J182" s="10"/>
      <c r="K182" s="308">
        <v>3582071</v>
      </c>
      <c r="L182" s="309">
        <f t="shared" si="50"/>
        <v>2.391744887245395E-2</v>
      </c>
      <c r="M182" s="130" t="s">
        <v>320</v>
      </c>
    </row>
    <row r="183" spans="1:13" s="6" customFormat="1" ht="26" hidden="1" x14ac:dyDescent="0.35">
      <c r="A183" s="7">
        <v>3</v>
      </c>
      <c r="B183" s="7" t="s">
        <v>25</v>
      </c>
      <c r="C183" s="314" t="s">
        <v>317</v>
      </c>
      <c r="D183" s="8" t="s">
        <v>321</v>
      </c>
      <c r="E183" s="8" t="s">
        <v>319</v>
      </c>
      <c r="F183" s="84">
        <v>38074</v>
      </c>
      <c r="G183" s="20">
        <v>38074</v>
      </c>
      <c r="H183" s="20">
        <v>38074</v>
      </c>
      <c r="I183" s="20">
        <v>38074</v>
      </c>
      <c r="J183" s="10"/>
      <c r="K183" s="308">
        <v>1371972</v>
      </c>
      <c r="L183" s="309">
        <f t="shared" si="50"/>
        <v>2.775129521593735E-2</v>
      </c>
      <c r="M183" s="130" t="s">
        <v>320</v>
      </c>
    </row>
    <row r="184" spans="1:13" s="6" customFormat="1" hidden="1" x14ac:dyDescent="0.35">
      <c r="A184" s="7">
        <v>4</v>
      </c>
      <c r="B184" s="7" t="s">
        <v>25</v>
      </c>
      <c r="C184" s="314" t="s">
        <v>317</v>
      </c>
      <c r="D184" s="8" t="s">
        <v>322</v>
      </c>
      <c r="E184" s="8" t="s">
        <v>319</v>
      </c>
      <c r="F184" s="84">
        <v>32750</v>
      </c>
      <c r="G184" s="20">
        <v>32750</v>
      </c>
      <c r="H184" s="20">
        <v>32750</v>
      </c>
      <c r="I184" s="20">
        <v>32750</v>
      </c>
      <c r="J184" s="10"/>
      <c r="K184" s="308">
        <v>952252</v>
      </c>
      <c r="L184" s="309">
        <f t="shared" si="50"/>
        <v>3.4392156698016908E-2</v>
      </c>
      <c r="M184" s="130" t="s">
        <v>320</v>
      </c>
    </row>
    <row r="185" spans="1:13" ht="26" hidden="1" x14ac:dyDescent="0.3">
      <c r="A185" s="7">
        <v>5</v>
      </c>
      <c r="B185" s="7" t="s">
        <v>25</v>
      </c>
      <c r="C185" s="314" t="s">
        <v>1005</v>
      </c>
      <c r="D185" s="8" t="s">
        <v>323</v>
      </c>
      <c r="E185" s="8" t="s">
        <v>68</v>
      </c>
      <c r="F185" s="20">
        <v>7216</v>
      </c>
      <c r="G185" s="20">
        <v>7216</v>
      </c>
      <c r="H185" s="20">
        <v>7216</v>
      </c>
      <c r="I185" s="20">
        <v>7216</v>
      </c>
      <c r="J185" s="10"/>
      <c r="K185" s="308">
        <v>433054</v>
      </c>
      <c r="L185" s="309">
        <f t="shared" si="50"/>
        <v>1.6663048950015472E-2</v>
      </c>
      <c r="M185" s="130" t="s">
        <v>324</v>
      </c>
    </row>
    <row r="186" spans="1:13" ht="91" hidden="1" x14ac:dyDescent="0.3">
      <c r="A186" s="7">
        <v>6</v>
      </c>
      <c r="B186" s="7" t="s">
        <v>25</v>
      </c>
      <c r="C186" s="314" t="s">
        <v>325</v>
      </c>
      <c r="D186" s="8" t="s">
        <v>326</v>
      </c>
      <c r="E186" s="8" t="s">
        <v>319</v>
      </c>
      <c r="F186" s="85">
        <v>230000</v>
      </c>
      <c r="G186" s="19">
        <v>230000</v>
      </c>
      <c r="H186" s="19">
        <v>230000</v>
      </c>
      <c r="I186" s="19">
        <v>230000</v>
      </c>
      <c r="J186" s="130" t="s">
        <v>327</v>
      </c>
      <c r="K186" s="310">
        <v>2580156</v>
      </c>
      <c r="L186" s="311">
        <f t="shared" si="50"/>
        <v>8.9141896846547261E-2</v>
      </c>
      <c r="M186" s="130" t="s">
        <v>328</v>
      </c>
    </row>
    <row r="187" spans="1:13" ht="26" hidden="1" x14ac:dyDescent="0.3">
      <c r="A187" s="7">
        <v>7</v>
      </c>
      <c r="B187" s="7" t="s">
        <v>25</v>
      </c>
      <c r="C187" s="314" t="s">
        <v>329</v>
      </c>
      <c r="D187" s="8" t="s">
        <v>330</v>
      </c>
      <c r="E187" s="8" t="s">
        <v>68</v>
      </c>
      <c r="F187" s="19">
        <v>100000</v>
      </c>
      <c r="G187" s="19">
        <v>100000</v>
      </c>
      <c r="H187" s="19">
        <v>100000</v>
      </c>
      <c r="I187" s="19">
        <v>100000</v>
      </c>
      <c r="J187" s="145"/>
      <c r="K187" s="308">
        <v>1000000</v>
      </c>
      <c r="L187" s="309">
        <f t="shared" si="50"/>
        <v>0.1</v>
      </c>
      <c r="M187" s="130" t="s">
        <v>331</v>
      </c>
    </row>
    <row r="188" spans="1:13" ht="26" hidden="1" x14ac:dyDescent="0.3">
      <c r="A188" s="7">
        <v>8</v>
      </c>
      <c r="B188" s="7" t="s">
        <v>25</v>
      </c>
      <c r="C188" s="314" t="s">
        <v>1004</v>
      </c>
      <c r="D188" s="8" t="s">
        <v>332</v>
      </c>
      <c r="E188" s="8" t="s">
        <v>66</v>
      </c>
      <c r="F188" s="84">
        <v>1843</v>
      </c>
      <c r="G188" s="20">
        <v>1843</v>
      </c>
      <c r="H188" s="20">
        <v>1843</v>
      </c>
      <c r="I188" s="20">
        <v>1843</v>
      </c>
      <c r="J188" s="10"/>
      <c r="K188" s="308">
        <v>30000</v>
      </c>
      <c r="L188" s="309">
        <f t="shared" si="50"/>
        <v>6.1433333333333333E-2</v>
      </c>
      <c r="M188" s="130" t="s">
        <v>333</v>
      </c>
    </row>
    <row r="189" spans="1:13" ht="26" hidden="1" x14ac:dyDescent="0.3">
      <c r="A189" s="7">
        <v>9</v>
      </c>
      <c r="B189" s="7" t="s">
        <v>25</v>
      </c>
      <c r="C189" s="8" t="s">
        <v>317</v>
      </c>
      <c r="D189" s="8" t="s">
        <v>334</v>
      </c>
      <c r="E189" s="8" t="s">
        <v>319</v>
      </c>
      <c r="F189" s="84">
        <v>1918</v>
      </c>
      <c r="G189" s="20">
        <v>1918</v>
      </c>
      <c r="H189" s="20">
        <v>1918</v>
      </c>
      <c r="I189" s="20">
        <v>1918</v>
      </c>
      <c r="J189" s="10"/>
      <c r="K189" s="308">
        <v>390918</v>
      </c>
      <c r="L189" s="309">
        <f t="shared" si="50"/>
        <v>4.9063998076322914E-3</v>
      </c>
      <c r="M189" s="130" t="s">
        <v>320</v>
      </c>
    </row>
    <row r="190" spans="1:13" ht="26" hidden="1" x14ac:dyDescent="0.3">
      <c r="A190" s="7">
        <v>10</v>
      </c>
      <c r="B190" s="7" t="s">
        <v>25</v>
      </c>
      <c r="C190" s="8" t="s">
        <v>317</v>
      </c>
      <c r="D190" s="8" t="s">
        <v>210</v>
      </c>
      <c r="E190" s="8" t="s">
        <v>319</v>
      </c>
      <c r="F190" s="85">
        <v>20000</v>
      </c>
      <c r="G190" s="19">
        <v>20000</v>
      </c>
      <c r="H190" s="19">
        <v>20000</v>
      </c>
      <c r="I190" s="19">
        <v>20000</v>
      </c>
      <c r="J190" s="145"/>
      <c r="K190" s="308">
        <v>488338</v>
      </c>
      <c r="L190" s="309">
        <f t="shared" si="50"/>
        <v>4.0955240018184125E-2</v>
      </c>
      <c r="M190" s="130" t="s">
        <v>320</v>
      </c>
    </row>
    <row r="191" spans="1:13" x14ac:dyDescent="0.3">
      <c r="A191" s="457" t="s">
        <v>335</v>
      </c>
      <c r="B191" s="458"/>
      <c r="C191" s="458"/>
      <c r="D191" s="458"/>
      <c r="E191" s="459"/>
      <c r="F191" s="43">
        <f>SUM(F198:F212)</f>
        <v>8081047</v>
      </c>
      <c r="G191" s="43">
        <f t="shared" ref="G191:I191" si="51">SUM(G198:G212)</f>
        <v>7918851</v>
      </c>
      <c r="H191" s="43">
        <f t="shared" si="51"/>
        <v>7918851</v>
      </c>
      <c r="I191" s="43">
        <f t="shared" si="51"/>
        <v>7918851</v>
      </c>
      <c r="J191" s="141"/>
      <c r="K191" s="341"/>
      <c r="L191" s="342"/>
      <c r="M191" s="142"/>
    </row>
    <row r="192" spans="1:13" x14ac:dyDescent="0.3">
      <c r="A192" s="460" t="s">
        <v>336</v>
      </c>
      <c r="B192" s="461"/>
      <c r="C192" s="461"/>
      <c r="D192" s="461"/>
      <c r="E192" s="462"/>
      <c r="F192" s="40">
        <v>22389504.795674726</v>
      </c>
      <c r="G192" s="86"/>
      <c r="H192" s="86"/>
      <c r="I192" s="86"/>
      <c r="J192" s="143"/>
      <c r="K192" s="343"/>
      <c r="L192" s="344"/>
      <c r="M192" s="144"/>
    </row>
    <row r="193" spans="1:13" x14ac:dyDescent="0.3">
      <c r="A193" s="463" t="s">
        <v>337</v>
      </c>
      <c r="B193" s="464"/>
      <c r="C193" s="464"/>
      <c r="D193" s="464"/>
      <c r="E193" s="465"/>
      <c r="F193" s="42">
        <f>F192-F191</f>
        <v>14308457.795674726</v>
      </c>
      <c r="G193" s="87"/>
      <c r="H193" s="87"/>
      <c r="I193" s="87"/>
      <c r="J193" s="143"/>
      <c r="K193" s="343"/>
      <c r="L193" s="344"/>
      <c r="M193" s="144"/>
    </row>
    <row r="194" spans="1:13" x14ac:dyDescent="0.3">
      <c r="A194" s="475" t="s">
        <v>65</v>
      </c>
      <c r="B194" s="476"/>
      <c r="C194" s="476"/>
      <c r="D194" s="476"/>
      <c r="E194" s="477"/>
      <c r="F194" s="363">
        <f>F206+F208+F210+F212</f>
        <v>704756</v>
      </c>
      <c r="G194" s="363">
        <f t="shared" ref="G194:I194" si="52">G206+G208+G210+G212</f>
        <v>704756</v>
      </c>
      <c r="H194" s="363">
        <f t="shared" si="52"/>
        <v>704756</v>
      </c>
      <c r="I194" s="363">
        <f t="shared" si="52"/>
        <v>704756</v>
      </c>
      <c r="J194" s="327"/>
      <c r="K194" s="372"/>
      <c r="L194" s="373"/>
      <c r="M194" s="374"/>
    </row>
    <row r="195" spans="1:13" x14ac:dyDescent="0.3">
      <c r="A195" s="475" t="s">
        <v>66</v>
      </c>
      <c r="B195" s="476"/>
      <c r="C195" s="476"/>
      <c r="D195" s="476"/>
      <c r="E195" s="477"/>
      <c r="F195" s="363">
        <f>F198+F204+F207+F209+F211</f>
        <v>931106</v>
      </c>
      <c r="G195" s="363">
        <f t="shared" ref="G195:I195" si="53">G198+G204+G207+G209+G211</f>
        <v>931106</v>
      </c>
      <c r="H195" s="363">
        <f t="shared" si="53"/>
        <v>931106</v>
      </c>
      <c r="I195" s="363">
        <f t="shared" si="53"/>
        <v>931106</v>
      </c>
      <c r="J195" s="327"/>
      <c r="K195" s="372"/>
      <c r="L195" s="373"/>
      <c r="M195" s="374"/>
    </row>
    <row r="196" spans="1:13" x14ac:dyDescent="0.3">
      <c r="A196" s="475" t="s">
        <v>67</v>
      </c>
      <c r="B196" s="476"/>
      <c r="C196" s="476"/>
      <c r="D196" s="476"/>
      <c r="E196" s="477"/>
      <c r="F196" s="363">
        <f>F205</f>
        <v>1706283</v>
      </c>
      <c r="G196" s="363">
        <f t="shared" ref="G196:I196" si="54">G205</f>
        <v>1706283</v>
      </c>
      <c r="H196" s="363">
        <f t="shared" si="54"/>
        <v>1706283</v>
      </c>
      <c r="I196" s="363">
        <f t="shared" si="54"/>
        <v>1706283</v>
      </c>
      <c r="J196" s="327"/>
      <c r="K196" s="372"/>
      <c r="L196" s="373"/>
      <c r="M196" s="374"/>
    </row>
    <row r="197" spans="1:13" x14ac:dyDescent="0.3">
      <c r="A197" s="475" t="s">
        <v>70</v>
      </c>
      <c r="B197" s="476"/>
      <c r="C197" s="476"/>
      <c r="D197" s="476"/>
      <c r="E197" s="477"/>
      <c r="F197" s="363">
        <f>F199+F200+F201+F202+F203</f>
        <v>4738902</v>
      </c>
      <c r="G197" s="363">
        <f t="shared" ref="G197:I197" si="55">G199+G200+G201+G202+G203</f>
        <v>4576706</v>
      </c>
      <c r="H197" s="363">
        <f t="shared" si="55"/>
        <v>4576706</v>
      </c>
      <c r="I197" s="363">
        <f t="shared" si="55"/>
        <v>4576706</v>
      </c>
      <c r="J197" s="327"/>
      <c r="K197" s="372"/>
      <c r="L197" s="373"/>
      <c r="M197" s="374"/>
    </row>
    <row r="198" spans="1:13" ht="39" hidden="1" x14ac:dyDescent="0.3">
      <c r="A198" s="21">
        <v>1</v>
      </c>
      <c r="B198" s="21" t="s">
        <v>26</v>
      </c>
      <c r="C198" s="8" t="s">
        <v>338</v>
      </c>
      <c r="D198" s="8" t="s">
        <v>339</v>
      </c>
      <c r="E198" s="8" t="s">
        <v>66</v>
      </c>
      <c r="F198" s="139">
        <v>40000</v>
      </c>
      <c r="G198" s="140">
        <v>40000</v>
      </c>
      <c r="H198" s="140">
        <v>40000</v>
      </c>
      <c r="I198" s="140">
        <v>40000</v>
      </c>
      <c r="J198" s="130"/>
      <c r="K198" s="310">
        <v>962703</v>
      </c>
      <c r="L198" s="311">
        <f>F198/K198</f>
        <v>4.1549678353552444E-2</v>
      </c>
      <c r="M198" s="272"/>
    </row>
    <row r="199" spans="1:13" ht="104" hidden="1" x14ac:dyDescent="0.3">
      <c r="A199" s="21">
        <v>2</v>
      </c>
      <c r="B199" s="21" t="s">
        <v>26</v>
      </c>
      <c r="C199" s="8" t="s">
        <v>340</v>
      </c>
      <c r="D199" s="8" t="s">
        <v>341</v>
      </c>
      <c r="E199" s="8" t="s">
        <v>170</v>
      </c>
      <c r="F199" s="139">
        <v>2000000</v>
      </c>
      <c r="G199" s="140">
        <v>2000000</v>
      </c>
      <c r="H199" s="140">
        <v>2000000</v>
      </c>
      <c r="I199" s="140">
        <v>2000000</v>
      </c>
      <c r="J199" s="130"/>
      <c r="K199" s="310">
        <v>10000000</v>
      </c>
      <c r="L199" s="345">
        <f t="shared" si="50"/>
        <v>0.2</v>
      </c>
      <c r="M199" s="346" t="s">
        <v>342</v>
      </c>
    </row>
    <row r="200" spans="1:13" ht="104" hidden="1" x14ac:dyDescent="0.3">
      <c r="A200" s="21">
        <v>3</v>
      </c>
      <c r="B200" s="21" t="s">
        <v>26</v>
      </c>
      <c r="C200" s="8" t="s">
        <v>343</v>
      </c>
      <c r="D200" s="8" t="s">
        <v>341</v>
      </c>
      <c r="E200" s="8" t="s">
        <v>170</v>
      </c>
      <c r="F200" s="139">
        <v>250000</v>
      </c>
      <c r="G200" s="140"/>
      <c r="H200" s="140"/>
      <c r="I200" s="140"/>
      <c r="J200" s="130" t="s">
        <v>344</v>
      </c>
      <c r="K200" s="310">
        <v>310000</v>
      </c>
      <c r="L200" s="347">
        <f t="shared" si="50"/>
        <v>0.80645161290322576</v>
      </c>
      <c r="M200" s="273"/>
    </row>
    <row r="201" spans="1:13" ht="104" hidden="1" x14ac:dyDescent="0.35">
      <c r="A201" s="21">
        <v>4</v>
      </c>
      <c r="B201" s="21" t="s">
        <v>26</v>
      </c>
      <c r="C201" s="8" t="s">
        <v>345</v>
      </c>
      <c r="D201" s="8" t="s">
        <v>341</v>
      </c>
      <c r="E201" s="8" t="s">
        <v>170</v>
      </c>
      <c r="F201" s="139">
        <v>570000</v>
      </c>
      <c r="G201" s="140">
        <v>570000</v>
      </c>
      <c r="H201" s="140">
        <v>570000</v>
      </c>
      <c r="I201" s="140">
        <v>570000</v>
      </c>
      <c r="J201" s="130" t="s">
        <v>345</v>
      </c>
      <c r="K201" s="310">
        <v>996892</v>
      </c>
      <c r="L201" s="347">
        <f t="shared" si="50"/>
        <v>0.57177708317450637</v>
      </c>
      <c r="M201" s="274"/>
    </row>
    <row r="202" spans="1:13" ht="104" hidden="1" x14ac:dyDescent="0.3">
      <c r="A202" s="21">
        <v>5</v>
      </c>
      <c r="B202" s="21" t="s">
        <v>26</v>
      </c>
      <c r="C202" s="8" t="s">
        <v>346</v>
      </c>
      <c r="D202" s="8" t="s">
        <v>347</v>
      </c>
      <c r="E202" s="8" t="s">
        <v>170</v>
      </c>
      <c r="F202" s="139">
        <v>43902</v>
      </c>
      <c r="G202" s="140">
        <v>131706</v>
      </c>
      <c r="H202" s="140">
        <v>131706</v>
      </c>
      <c r="I202" s="140">
        <v>131706</v>
      </c>
      <c r="J202" s="130"/>
      <c r="K202" s="310">
        <v>131706</v>
      </c>
      <c r="L202" s="347">
        <f t="shared" si="50"/>
        <v>0.33333333333333331</v>
      </c>
      <c r="M202" s="275"/>
    </row>
    <row r="203" spans="1:13" ht="104" hidden="1" x14ac:dyDescent="0.3">
      <c r="A203" s="21">
        <v>6</v>
      </c>
      <c r="B203" s="21" t="s">
        <v>26</v>
      </c>
      <c r="C203" s="8" t="s">
        <v>348</v>
      </c>
      <c r="D203" s="8" t="s">
        <v>349</v>
      </c>
      <c r="E203" s="8" t="s">
        <v>170</v>
      </c>
      <c r="F203" s="139">
        <v>1875000</v>
      </c>
      <c r="G203" s="140">
        <v>1875000</v>
      </c>
      <c r="H203" s="140">
        <v>1875000</v>
      </c>
      <c r="I203" s="140">
        <v>1875000</v>
      </c>
      <c r="J203" s="130"/>
      <c r="K203" s="310">
        <v>39443712</v>
      </c>
      <c r="L203" s="345">
        <f t="shared" si="50"/>
        <v>4.7536093966004014E-2</v>
      </c>
      <c r="M203" s="348" t="s">
        <v>350</v>
      </c>
    </row>
    <row r="204" spans="1:13" ht="26" hidden="1" x14ac:dyDescent="0.3">
      <c r="A204" s="21">
        <v>7</v>
      </c>
      <c r="B204" s="21" t="s">
        <v>26</v>
      </c>
      <c r="C204" s="8" t="s">
        <v>351</v>
      </c>
      <c r="D204" s="8" t="s">
        <v>352</v>
      </c>
      <c r="E204" s="8" t="s">
        <v>66</v>
      </c>
      <c r="F204" s="139">
        <v>862380</v>
      </c>
      <c r="G204" s="140">
        <v>862380</v>
      </c>
      <c r="H204" s="140">
        <v>862380</v>
      </c>
      <c r="I204" s="140">
        <v>862380</v>
      </c>
      <c r="J204" s="130"/>
      <c r="K204" s="310">
        <v>5300000</v>
      </c>
      <c r="L204" s="347">
        <f t="shared" si="50"/>
        <v>0.16271320754716981</v>
      </c>
      <c r="M204" s="348"/>
    </row>
    <row r="205" spans="1:13" ht="52" hidden="1" x14ac:dyDescent="0.3">
      <c r="A205" s="21">
        <v>8</v>
      </c>
      <c r="B205" s="21" t="s">
        <v>26</v>
      </c>
      <c r="C205" s="8" t="s">
        <v>353</v>
      </c>
      <c r="D205" s="8" t="s">
        <v>354</v>
      </c>
      <c r="E205" s="8" t="s">
        <v>67</v>
      </c>
      <c r="F205" s="139">
        <v>1706283</v>
      </c>
      <c r="G205" s="140">
        <v>1706283</v>
      </c>
      <c r="H205" s="140">
        <v>1706283</v>
      </c>
      <c r="I205" s="140">
        <v>1706283</v>
      </c>
      <c r="J205" s="130"/>
      <c r="K205" s="310">
        <v>17803453</v>
      </c>
      <c r="L205" s="347">
        <f t="shared" si="50"/>
        <v>9.5840003621769324E-2</v>
      </c>
      <c r="M205" s="348" t="s">
        <v>355</v>
      </c>
    </row>
    <row r="206" spans="1:13" ht="26.15" hidden="1" customHeight="1" x14ac:dyDescent="0.3">
      <c r="A206" s="514">
        <v>9</v>
      </c>
      <c r="B206" s="514" t="s">
        <v>26</v>
      </c>
      <c r="C206" s="515" t="s">
        <v>356</v>
      </c>
      <c r="D206" s="516" t="s">
        <v>357</v>
      </c>
      <c r="E206" s="8" t="s">
        <v>65</v>
      </c>
      <c r="F206" s="139">
        <v>54182</v>
      </c>
      <c r="G206" s="140">
        <v>54182</v>
      </c>
      <c r="H206" s="140">
        <v>54182</v>
      </c>
      <c r="I206" s="140">
        <v>54182</v>
      </c>
      <c r="J206" s="130"/>
      <c r="K206" s="517">
        <v>2020468</v>
      </c>
      <c r="L206" s="518">
        <f>(F206+F207)/K206</f>
        <v>3.0647354969244749E-2</v>
      </c>
      <c r="M206" s="348"/>
    </row>
    <row r="207" spans="1:13" ht="26" hidden="1" x14ac:dyDescent="0.3">
      <c r="A207" s="514"/>
      <c r="B207" s="514"/>
      <c r="C207" s="515"/>
      <c r="D207" s="516"/>
      <c r="E207" s="8" t="s">
        <v>66</v>
      </c>
      <c r="F207" s="139">
        <v>7740</v>
      </c>
      <c r="G207" s="140">
        <v>7740</v>
      </c>
      <c r="H207" s="140">
        <v>7740</v>
      </c>
      <c r="I207" s="140">
        <v>7740</v>
      </c>
      <c r="J207" s="130"/>
      <c r="K207" s="517"/>
      <c r="L207" s="518"/>
      <c r="M207" s="348"/>
    </row>
    <row r="208" spans="1:13" ht="26.15" hidden="1" customHeight="1" x14ac:dyDescent="0.3">
      <c r="A208" s="514"/>
      <c r="B208" s="514"/>
      <c r="C208" s="515"/>
      <c r="D208" s="516" t="s">
        <v>358</v>
      </c>
      <c r="E208" s="8" t="s">
        <v>65</v>
      </c>
      <c r="F208" s="139">
        <v>70598</v>
      </c>
      <c r="G208" s="140">
        <v>70598</v>
      </c>
      <c r="H208" s="140">
        <v>70598</v>
      </c>
      <c r="I208" s="140">
        <v>70598</v>
      </c>
      <c r="J208" s="130"/>
      <c r="K208" s="517">
        <v>974835</v>
      </c>
      <c r="L208" s="518">
        <f>(F208+F209)/K208</f>
        <v>8.3146378617919958E-2</v>
      </c>
      <c r="M208" s="348"/>
    </row>
    <row r="209" spans="1:13" ht="26" hidden="1" x14ac:dyDescent="0.3">
      <c r="A209" s="514"/>
      <c r="B209" s="514"/>
      <c r="C209" s="515"/>
      <c r="D209" s="516"/>
      <c r="E209" s="8" t="s">
        <v>66</v>
      </c>
      <c r="F209" s="139">
        <v>10456</v>
      </c>
      <c r="G209" s="140">
        <v>10456</v>
      </c>
      <c r="H209" s="140">
        <v>10456</v>
      </c>
      <c r="I209" s="140">
        <v>10456</v>
      </c>
      <c r="J209" s="130"/>
      <c r="K209" s="517"/>
      <c r="L209" s="518"/>
      <c r="M209" s="348"/>
    </row>
    <row r="210" spans="1:13" hidden="1" x14ac:dyDescent="0.3">
      <c r="A210" s="514"/>
      <c r="B210" s="514"/>
      <c r="C210" s="515"/>
      <c r="D210" s="516" t="s">
        <v>359</v>
      </c>
      <c r="E210" s="8" t="s">
        <v>65</v>
      </c>
      <c r="F210" s="139">
        <v>38551</v>
      </c>
      <c r="G210" s="140">
        <v>38551</v>
      </c>
      <c r="H210" s="140">
        <v>38551</v>
      </c>
      <c r="I210" s="140">
        <v>38551</v>
      </c>
      <c r="J210" s="130"/>
      <c r="K210" s="517">
        <v>576799</v>
      </c>
      <c r="L210" s="519">
        <f>(F210+F211)/K210</f>
        <v>8.5092033793401162E-2</v>
      </c>
      <c r="M210" s="349"/>
    </row>
    <row r="211" spans="1:13" ht="26" hidden="1" x14ac:dyDescent="0.3">
      <c r="A211" s="514"/>
      <c r="B211" s="514"/>
      <c r="C211" s="515"/>
      <c r="D211" s="516"/>
      <c r="E211" s="8" t="s">
        <v>66</v>
      </c>
      <c r="F211" s="139">
        <v>10530</v>
      </c>
      <c r="G211" s="140">
        <v>10530</v>
      </c>
      <c r="H211" s="140">
        <v>10530</v>
      </c>
      <c r="I211" s="140">
        <v>10530</v>
      </c>
      <c r="J211" s="130"/>
      <c r="K211" s="517"/>
      <c r="L211" s="519"/>
      <c r="M211" s="350"/>
    </row>
    <row r="212" spans="1:13" ht="26" hidden="1" x14ac:dyDescent="0.3">
      <c r="A212" s="21">
        <v>15</v>
      </c>
      <c r="B212" s="21" t="s">
        <v>26</v>
      </c>
      <c r="C212" s="8" t="s">
        <v>360</v>
      </c>
      <c r="D212" s="8" t="s">
        <v>361</v>
      </c>
      <c r="E212" s="8" t="s">
        <v>65</v>
      </c>
      <c r="F212" s="139">
        <v>541425</v>
      </c>
      <c r="G212" s="140">
        <v>541425</v>
      </c>
      <c r="H212" s="140">
        <v>541425</v>
      </c>
      <c r="I212" s="140">
        <v>541425</v>
      </c>
      <c r="J212" s="130"/>
      <c r="K212" s="310">
        <v>7405427</v>
      </c>
      <c r="L212" s="311">
        <f t="shared" ref="L212:L289" si="56">F212/K212</f>
        <v>7.3111921837862956E-2</v>
      </c>
      <c r="M212" s="350"/>
    </row>
    <row r="213" spans="1:13" x14ac:dyDescent="0.3">
      <c r="A213" s="457" t="s">
        <v>362</v>
      </c>
      <c r="B213" s="458"/>
      <c r="C213" s="458"/>
      <c r="D213" s="458"/>
      <c r="E213" s="459"/>
      <c r="F213" s="43">
        <f>SUM(F221:F258)</f>
        <v>6989345.5379999997</v>
      </c>
      <c r="G213" s="43">
        <f t="shared" ref="G213:I213" si="57">SUM(G221:G258)</f>
        <v>6989345.5379999997</v>
      </c>
      <c r="H213" s="43">
        <f t="shared" si="57"/>
        <v>6989345.5379999997</v>
      </c>
      <c r="I213" s="43">
        <f t="shared" si="57"/>
        <v>6989345.5379999997</v>
      </c>
      <c r="J213" s="141"/>
      <c r="K213" s="226"/>
      <c r="L213" s="220"/>
      <c r="M213" s="142"/>
    </row>
    <row r="214" spans="1:13" x14ac:dyDescent="0.3">
      <c r="A214" s="460" t="s">
        <v>363</v>
      </c>
      <c r="B214" s="461"/>
      <c r="C214" s="461"/>
      <c r="D214" s="461"/>
      <c r="E214" s="462"/>
      <c r="F214" s="40">
        <v>7480373</v>
      </c>
      <c r="G214" s="86"/>
      <c r="H214" s="86"/>
      <c r="I214" s="86"/>
      <c r="J214" s="143"/>
      <c r="K214" s="227"/>
      <c r="L214" s="221"/>
      <c r="M214" s="144"/>
    </row>
    <row r="215" spans="1:13" x14ac:dyDescent="0.3">
      <c r="A215" s="463" t="s">
        <v>364</v>
      </c>
      <c r="B215" s="464"/>
      <c r="C215" s="464"/>
      <c r="D215" s="464"/>
      <c r="E215" s="465"/>
      <c r="F215" s="42">
        <f>F214-F213</f>
        <v>491027.46200000029</v>
      </c>
      <c r="G215" s="87"/>
      <c r="H215" s="87"/>
      <c r="I215" s="87"/>
      <c r="J215" s="143"/>
      <c r="K215" s="227"/>
      <c r="L215" s="221"/>
      <c r="M215" s="144"/>
    </row>
    <row r="216" spans="1:13" x14ac:dyDescent="0.3">
      <c r="A216" s="475" t="s">
        <v>65</v>
      </c>
      <c r="B216" s="476"/>
      <c r="C216" s="476"/>
      <c r="D216" s="476"/>
      <c r="E216" s="477"/>
      <c r="F216" s="363">
        <f>F221+F228+F236+F247+F257</f>
        <v>2986024</v>
      </c>
      <c r="G216" s="363">
        <f t="shared" ref="G216:I216" si="58">G221+G228+G236+G247+G257</f>
        <v>2986024</v>
      </c>
      <c r="H216" s="363">
        <f t="shared" si="58"/>
        <v>2986024</v>
      </c>
      <c r="I216" s="363">
        <f t="shared" si="58"/>
        <v>2986024</v>
      </c>
      <c r="J216" s="327"/>
      <c r="K216" s="368"/>
      <c r="L216" s="369"/>
      <c r="M216" s="366"/>
    </row>
    <row r="217" spans="1:13" x14ac:dyDescent="0.3">
      <c r="A217" s="475" t="s">
        <v>66</v>
      </c>
      <c r="B217" s="476"/>
      <c r="C217" s="476"/>
      <c r="D217" s="476"/>
      <c r="E217" s="477"/>
      <c r="F217" s="363">
        <f>F222+F229+F231+F237+F248+F249+F250+F251+F252+F253+F254+F255+F258</f>
        <v>1647346</v>
      </c>
      <c r="G217" s="363">
        <f t="shared" ref="G217:I217" si="59">G222+G229+G231+G237+G248+G249+G250+G251+G252+G253+G254+G255+G258</f>
        <v>1647346</v>
      </c>
      <c r="H217" s="363">
        <f t="shared" si="59"/>
        <v>1647346</v>
      </c>
      <c r="I217" s="363">
        <f t="shared" si="59"/>
        <v>1647346</v>
      </c>
      <c r="J217" s="327"/>
      <c r="K217" s="368"/>
      <c r="L217" s="369"/>
      <c r="M217" s="366"/>
    </row>
    <row r="218" spans="1:13" x14ac:dyDescent="0.3">
      <c r="A218" s="475" t="s">
        <v>67</v>
      </c>
      <c r="B218" s="476"/>
      <c r="C218" s="476"/>
      <c r="D218" s="476"/>
      <c r="E218" s="477"/>
      <c r="F218" s="363">
        <f>F227+F234+F235+F239+F240+F244+F245+F246</f>
        <v>1501426</v>
      </c>
      <c r="G218" s="363">
        <f t="shared" ref="G218:I218" si="60">G227+G234+G235+G239+G240+G244+G245+G246</f>
        <v>1501426</v>
      </c>
      <c r="H218" s="363">
        <f t="shared" si="60"/>
        <v>1501426</v>
      </c>
      <c r="I218" s="363">
        <f t="shared" si="60"/>
        <v>1501426</v>
      </c>
      <c r="J218" s="327"/>
      <c r="K218" s="368"/>
      <c r="L218" s="369"/>
      <c r="M218" s="366"/>
    </row>
    <row r="219" spans="1:13" x14ac:dyDescent="0.3">
      <c r="A219" s="475" t="s">
        <v>68</v>
      </c>
      <c r="B219" s="476"/>
      <c r="C219" s="476"/>
      <c r="D219" s="476"/>
      <c r="E219" s="477"/>
      <c r="F219" s="363">
        <f>F223+F230+F232+F238+F256</f>
        <v>564113</v>
      </c>
      <c r="G219" s="363">
        <f t="shared" ref="G219:I219" si="61">G223+G230+G232+G238+G256</f>
        <v>564113</v>
      </c>
      <c r="H219" s="363">
        <f t="shared" si="61"/>
        <v>564113</v>
      </c>
      <c r="I219" s="363">
        <f t="shared" si="61"/>
        <v>564113</v>
      </c>
      <c r="J219" s="327"/>
      <c r="K219" s="368"/>
      <c r="L219" s="369"/>
      <c r="M219" s="366"/>
    </row>
    <row r="220" spans="1:13" x14ac:dyDescent="0.3">
      <c r="A220" s="475" t="s">
        <v>70</v>
      </c>
      <c r="B220" s="476"/>
      <c r="C220" s="476"/>
      <c r="D220" s="476"/>
      <c r="E220" s="477"/>
      <c r="F220" s="363">
        <f>F224+F225+F226+F233+F241+F242+F243</f>
        <v>290436.538</v>
      </c>
      <c r="G220" s="363">
        <f t="shared" ref="G220:I220" si="62">G224+G225+G226+G233+G241+G242+G243</f>
        <v>290436.538</v>
      </c>
      <c r="H220" s="363">
        <f t="shared" si="62"/>
        <v>290436.538</v>
      </c>
      <c r="I220" s="363">
        <f t="shared" si="62"/>
        <v>290436.538</v>
      </c>
      <c r="J220" s="327"/>
      <c r="K220" s="368"/>
      <c r="L220" s="369"/>
      <c r="M220" s="366"/>
    </row>
    <row r="221" spans="1:13" ht="93.75" hidden="1" customHeight="1" x14ac:dyDescent="0.3">
      <c r="A221" s="493">
        <v>1</v>
      </c>
      <c r="B221" s="497" t="s">
        <v>27</v>
      </c>
      <c r="C221" s="49" t="s">
        <v>1006</v>
      </c>
      <c r="D221" s="521" t="s">
        <v>365</v>
      </c>
      <c r="E221" s="2" t="s">
        <v>65</v>
      </c>
      <c r="F221" s="20">
        <v>718269</v>
      </c>
      <c r="G221" s="20">
        <v>718269</v>
      </c>
      <c r="H221" s="20">
        <v>718269</v>
      </c>
      <c r="I221" s="20">
        <v>718269</v>
      </c>
      <c r="J221" s="10"/>
      <c r="K221" s="308">
        <v>9265714</v>
      </c>
      <c r="L221" s="309">
        <f t="shared" si="56"/>
        <v>7.7519012566112017E-2</v>
      </c>
      <c r="M221" s="211"/>
    </row>
    <row r="222" spans="1:13" ht="27.75" hidden="1" customHeight="1" x14ac:dyDescent="0.3">
      <c r="A222" s="508"/>
      <c r="B222" s="520"/>
      <c r="C222" s="2" t="s">
        <v>366</v>
      </c>
      <c r="D222" s="522"/>
      <c r="E222" s="2" t="s">
        <v>66</v>
      </c>
      <c r="F222" s="20">
        <v>104416</v>
      </c>
      <c r="G222" s="20">
        <v>104416</v>
      </c>
      <c r="H222" s="20">
        <v>104416</v>
      </c>
      <c r="I222" s="20">
        <v>104416</v>
      </c>
      <c r="J222" s="10"/>
      <c r="K222" s="308">
        <v>1369278</v>
      </c>
      <c r="L222" s="309">
        <f t="shared" si="56"/>
        <v>7.6256245992413527E-2</v>
      </c>
      <c r="M222" s="211"/>
    </row>
    <row r="223" spans="1:13" ht="26" hidden="1" x14ac:dyDescent="0.3">
      <c r="A223" s="494"/>
      <c r="B223" s="498"/>
      <c r="C223" s="2" t="s">
        <v>367</v>
      </c>
      <c r="D223" s="523"/>
      <c r="E223" s="2" t="s">
        <v>68</v>
      </c>
      <c r="F223" s="20">
        <v>100000</v>
      </c>
      <c r="G223" s="20">
        <v>100000</v>
      </c>
      <c r="H223" s="20">
        <v>100000</v>
      </c>
      <c r="I223" s="20">
        <v>100000</v>
      </c>
      <c r="J223" s="10"/>
      <c r="K223" s="308">
        <v>185951</v>
      </c>
      <c r="L223" s="309">
        <f t="shared" si="56"/>
        <v>0.53777608079547834</v>
      </c>
      <c r="M223" s="211"/>
    </row>
    <row r="224" spans="1:13" ht="65" hidden="1" x14ac:dyDescent="0.3">
      <c r="A224" s="493">
        <v>2</v>
      </c>
      <c r="B224" s="497" t="s">
        <v>27</v>
      </c>
      <c r="C224" s="52" t="s">
        <v>368</v>
      </c>
      <c r="D224" s="521" t="s">
        <v>369</v>
      </c>
      <c r="E224" s="2" t="s">
        <v>370</v>
      </c>
      <c r="F224" s="20">
        <v>44487.627999999997</v>
      </c>
      <c r="G224" s="20">
        <v>44487.627999999997</v>
      </c>
      <c r="H224" s="20">
        <v>44487.627999999997</v>
      </c>
      <c r="I224" s="20">
        <v>44487.627999999997</v>
      </c>
      <c r="J224" s="10"/>
      <c r="K224" s="308">
        <v>517298</v>
      </c>
      <c r="L224" s="309">
        <f t="shared" si="56"/>
        <v>8.5999999999999993E-2</v>
      </c>
      <c r="M224" s="211"/>
    </row>
    <row r="225" spans="1:13" ht="63.75" hidden="1" customHeight="1" x14ac:dyDescent="0.3">
      <c r="A225" s="508"/>
      <c r="B225" s="520"/>
      <c r="C225" s="52" t="s">
        <v>371</v>
      </c>
      <c r="D225" s="522"/>
      <c r="E225" s="2" t="s">
        <v>372</v>
      </c>
      <c r="F225" s="20">
        <v>24632.808000000001</v>
      </c>
      <c r="G225" s="20">
        <v>24632.808000000001</v>
      </c>
      <c r="H225" s="20">
        <v>24632.808000000001</v>
      </c>
      <c r="I225" s="20">
        <v>24632.808000000001</v>
      </c>
      <c r="J225" s="10"/>
      <c r="K225" s="308">
        <v>286428</v>
      </c>
      <c r="L225" s="309">
        <f t="shared" si="56"/>
        <v>8.6000000000000007E-2</v>
      </c>
      <c r="M225" s="211"/>
    </row>
    <row r="226" spans="1:13" ht="104" hidden="1" x14ac:dyDescent="0.3">
      <c r="A226" s="494"/>
      <c r="B226" s="498"/>
      <c r="C226" s="52" t="s">
        <v>373</v>
      </c>
      <c r="D226" s="523"/>
      <c r="E226" s="2" t="s">
        <v>372</v>
      </c>
      <c r="F226" s="20">
        <v>65769.101999999999</v>
      </c>
      <c r="G226" s="20">
        <v>65769.101999999999</v>
      </c>
      <c r="H226" s="20">
        <v>65769.101999999999</v>
      </c>
      <c r="I226" s="20">
        <v>65769.101999999999</v>
      </c>
      <c r="J226" s="10"/>
      <c r="K226" s="308">
        <v>764757</v>
      </c>
      <c r="L226" s="309">
        <f t="shared" si="56"/>
        <v>8.5999999999999993E-2</v>
      </c>
      <c r="M226" s="211"/>
    </row>
    <row r="227" spans="1:13" ht="63.75" hidden="1" customHeight="1" x14ac:dyDescent="0.3">
      <c r="A227" s="7">
        <v>3</v>
      </c>
      <c r="B227" s="21" t="s">
        <v>27</v>
      </c>
      <c r="C227" s="52" t="s">
        <v>374</v>
      </c>
      <c r="D227" s="51" t="s">
        <v>375</v>
      </c>
      <c r="E227" s="2" t="s">
        <v>67</v>
      </c>
      <c r="F227" s="20">
        <v>663747</v>
      </c>
      <c r="G227" s="20">
        <v>663747</v>
      </c>
      <c r="H227" s="20">
        <v>663747</v>
      </c>
      <c r="I227" s="20">
        <v>663747</v>
      </c>
      <c r="J227" s="10"/>
      <c r="K227" s="308">
        <v>7717986</v>
      </c>
      <c r="L227" s="309">
        <f t="shared" si="56"/>
        <v>8.6000026431766005E-2</v>
      </c>
      <c r="M227" s="211" t="s">
        <v>376</v>
      </c>
    </row>
    <row r="228" spans="1:13" ht="39" hidden="1" customHeight="1" x14ac:dyDescent="0.3">
      <c r="A228" s="493">
        <v>4</v>
      </c>
      <c r="B228" s="497" t="s">
        <v>27</v>
      </c>
      <c r="C228" s="52" t="s">
        <v>377</v>
      </c>
      <c r="D228" s="570" t="s">
        <v>378</v>
      </c>
      <c r="E228" s="4" t="s">
        <v>65</v>
      </c>
      <c r="F228" s="20">
        <v>500174</v>
      </c>
      <c r="G228" s="20">
        <v>500174</v>
      </c>
      <c r="H228" s="20">
        <v>500174</v>
      </c>
      <c r="I228" s="20">
        <v>500174</v>
      </c>
      <c r="J228" s="10"/>
      <c r="K228" s="308">
        <v>13583151</v>
      </c>
      <c r="L228" s="309">
        <f t="shared" si="56"/>
        <v>3.682312005513301E-2</v>
      </c>
      <c r="M228" s="5"/>
    </row>
    <row r="229" spans="1:13" ht="50.25" hidden="1" customHeight="1" x14ac:dyDescent="0.3">
      <c r="A229" s="508"/>
      <c r="B229" s="520"/>
      <c r="C229" s="52" t="s">
        <v>379</v>
      </c>
      <c r="D229" s="571"/>
      <c r="E229" s="2" t="s">
        <v>66</v>
      </c>
      <c r="F229" s="20">
        <v>810000</v>
      </c>
      <c r="G229" s="20">
        <v>810000</v>
      </c>
      <c r="H229" s="20">
        <v>810000</v>
      </c>
      <c r="I229" s="20">
        <v>810000</v>
      </c>
      <c r="J229" s="10"/>
      <c r="K229" s="308">
        <v>993426</v>
      </c>
      <c r="L229" s="309">
        <f t="shared" si="56"/>
        <v>0.81536017780891579</v>
      </c>
      <c r="M229" s="5"/>
    </row>
    <row r="230" spans="1:13" ht="26" hidden="1" x14ac:dyDescent="0.3">
      <c r="A230" s="508"/>
      <c r="B230" s="520"/>
      <c r="C230" s="52"/>
      <c r="D230" s="571"/>
      <c r="E230" s="2" t="s">
        <v>68</v>
      </c>
      <c r="F230" s="20">
        <v>14113</v>
      </c>
      <c r="G230" s="20">
        <v>14113</v>
      </c>
      <c r="H230" s="20">
        <v>14113</v>
      </c>
      <c r="I230" s="20">
        <v>14113</v>
      </c>
      <c r="J230" s="10"/>
      <c r="K230" s="308">
        <v>14113</v>
      </c>
      <c r="L230" s="309">
        <f t="shared" si="56"/>
        <v>1</v>
      </c>
      <c r="M230" s="5"/>
    </row>
    <row r="231" spans="1:13" ht="52" hidden="1" x14ac:dyDescent="0.3">
      <c r="A231" s="508"/>
      <c r="B231" s="520"/>
      <c r="C231" s="52" t="s">
        <v>380</v>
      </c>
      <c r="D231" s="571"/>
      <c r="E231" s="2" t="s">
        <v>66</v>
      </c>
      <c r="F231" s="20">
        <v>24289</v>
      </c>
      <c r="G231" s="20">
        <v>24289</v>
      </c>
      <c r="H231" s="20">
        <v>24289</v>
      </c>
      <c r="I231" s="20">
        <v>24289</v>
      </c>
      <c r="J231" s="10"/>
      <c r="K231" s="308">
        <v>1204116</v>
      </c>
      <c r="L231" s="309">
        <f t="shared" si="56"/>
        <v>2.0171644592381466E-2</v>
      </c>
      <c r="M231" s="5"/>
    </row>
    <row r="232" spans="1:13" ht="39" hidden="1" x14ac:dyDescent="0.3">
      <c r="A232" s="508"/>
      <c r="B232" s="520"/>
      <c r="C232" s="52" t="s">
        <v>381</v>
      </c>
      <c r="D232" s="571"/>
      <c r="E232" s="2" t="s">
        <v>68</v>
      </c>
      <c r="F232" s="20">
        <v>150000</v>
      </c>
      <c r="G232" s="20">
        <v>150000</v>
      </c>
      <c r="H232" s="20">
        <v>150000</v>
      </c>
      <c r="I232" s="20">
        <v>150000</v>
      </c>
      <c r="J232" s="10"/>
      <c r="K232" s="308">
        <v>250000</v>
      </c>
      <c r="L232" s="309">
        <f t="shared" si="56"/>
        <v>0.6</v>
      </c>
      <c r="M232" s="5"/>
    </row>
    <row r="233" spans="1:13" ht="52" hidden="1" x14ac:dyDescent="0.3">
      <c r="A233" s="494"/>
      <c r="B233" s="498"/>
      <c r="C233" s="52"/>
      <c r="D233" s="572"/>
      <c r="E233" s="2" t="s">
        <v>372</v>
      </c>
      <c r="F233" s="20">
        <v>13299</v>
      </c>
      <c r="G233" s="20">
        <v>13299</v>
      </c>
      <c r="H233" s="20">
        <v>13299</v>
      </c>
      <c r="I233" s="20">
        <v>13299</v>
      </c>
      <c r="J233" s="10"/>
      <c r="K233" s="308">
        <v>154638</v>
      </c>
      <c r="L233" s="309">
        <f t="shared" si="56"/>
        <v>8.6000853606487404E-2</v>
      </c>
      <c r="M233" s="5"/>
    </row>
    <row r="234" spans="1:13" ht="26" hidden="1" x14ac:dyDescent="0.3">
      <c r="A234" s="7">
        <v>5</v>
      </c>
      <c r="B234" s="21" t="s">
        <v>27</v>
      </c>
      <c r="C234" s="52"/>
      <c r="D234" s="51" t="s">
        <v>382</v>
      </c>
      <c r="E234" s="2" t="s">
        <v>67</v>
      </c>
      <c r="F234" s="20">
        <v>12806</v>
      </c>
      <c r="G234" s="20">
        <v>12806</v>
      </c>
      <c r="H234" s="20">
        <v>12806</v>
      </c>
      <c r="I234" s="20">
        <v>12806</v>
      </c>
      <c r="J234" s="10"/>
      <c r="K234" s="308">
        <v>148911</v>
      </c>
      <c r="L234" s="309">
        <f t="shared" si="56"/>
        <v>8.599767646446535E-2</v>
      </c>
      <c r="M234" s="5"/>
    </row>
    <row r="235" spans="1:13" ht="52" hidden="1" x14ac:dyDescent="0.3">
      <c r="A235" s="7">
        <v>6</v>
      </c>
      <c r="B235" s="21" t="s">
        <v>27</v>
      </c>
      <c r="C235" s="52"/>
      <c r="D235" s="51" t="s">
        <v>383</v>
      </c>
      <c r="E235" s="2" t="s">
        <v>67</v>
      </c>
      <c r="F235" s="20">
        <v>12799</v>
      </c>
      <c r="G235" s="20">
        <v>12799</v>
      </c>
      <c r="H235" s="20">
        <v>12799</v>
      </c>
      <c r="I235" s="20">
        <v>12799</v>
      </c>
      <c r="J235" s="10"/>
      <c r="K235" s="308">
        <v>148824</v>
      </c>
      <c r="L235" s="309">
        <f t="shared" si="56"/>
        <v>8.6000913831102505E-2</v>
      </c>
      <c r="M235" s="5"/>
    </row>
    <row r="236" spans="1:13" ht="70.5" hidden="1" customHeight="1" x14ac:dyDescent="0.3">
      <c r="A236" s="493">
        <v>7</v>
      </c>
      <c r="B236" s="497" t="s">
        <v>27</v>
      </c>
      <c r="C236" s="52" t="s">
        <v>384</v>
      </c>
      <c r="D236" s="521" t="s">
        <v>385</v>
      </c>
      <c r="E236" s="4" t="s">
        <v>65</v>
      </c>
      <c r="F236" s="20">
        <v>1157016</v>
      </c>
      <c r="G236" s="20">
        <v>1157016</v>
      </c>
      <c r="H236" s="20">
        <v>1157016</v>
      </c>
      <c r="I236" s="20">
        <v>1157016</v>
      </c>
      <c r="J236" s="10"/>
      <c r="K236" s="308">
        <v>1238694</v>
      </c>
      <c r="L236" s="309">
        <f t="shared" si="56"/>
        <v>0.93406119671202092</v>
      </c>
      <c r="M236" s="5" t="s">
        <v>386</v>
      </c>
    </row>
    <row r="237" spans="1:13" ht="78" hidden="1" x14ac:dyDescent="0.3">
      <c r="A237" s="508"/>
      <c r="B237" s="520"/>
      <c r="C237" s="52" t="s">
        <v>1007</v>
      </c>
      <c r="D237" s="522"/>
      <c r="E237" s="2" t="s">
        <v>66</v>
      </c>
      <c r="F237" s="20">
        <v>434442</v>
      </c>
      <c r="G237" s="20">
        <v>434442</v>
      </c>
      <c r="H237" s="20">
        <v>434442</v>
      </c>
      <c r="I237" s="20">
        <v>434442</v>
      </c>
      <c r="J237" s="10"/>
      <c r="K237" s="308">
        <v>1682658</v>
      </c>
      <c r="L237" s="309">
        <f t="shared" si="56"/>
        <v>0.25818793836893772</v>
      </c>
      <c r="M237" s="5"/>
    </row>
    <row r="238" spans="1:13" ht="45" hidden="1" customHeight="1" x14ac:dyDescent="0.3">
      <c r="A238" s="494"/>
      <c r="B238" s="498"/>
      <c r="C238" s="52" t="s">
        <v>1008</v>
      </c>
      <c r="D238" s="523"/>
      <c r="E238" s="2" t="s">
        <v>68</v>
      </c>
      <c r="F238" s="20">
        <v>200000</v>
      </c>
      <c r="G238" s="20">
        <v>200000</v>
      </c>
      <c r="H238" s="20">
        <v>200000</v>
      </c>
      <c r="I238" s="20">
        <v>200000</v>
      </c>
      <c r="J238" s="10"/>
      <c r="K238" s="308">
        <v>357654</v>
      </c>
      <c r="L238" s="309">
        <f>F238/K238</f>
        <v>0.55919967342739074</v>
      </c>
      <c r="M238" s="5"/>
    </row>
    <row r="239" spans="1:13" ht="26" hidden="1" x14ac:dyDescent="0.3">
      <c r="A239" s="493">
        <v>8</v>
      </c>
      <c r="B239" s="497" t="s">
        <v>27</v>
      </c>
      <c r="C239" s="52"/>
      <c r="D239" s="51" t="s">
        <v>387</v>
      </c>
      <c r="E239" s="2" t="s">
        <v>67</v>
      </c>
      <c r="F239" s="20">
        <v>114226</v>
      </c>
      <c r="G239" s="20">
        <v>114226</v>
      </c>
      <c r="H239" s="20">
        <v>114226</v>
      </c>
      <c r="I239" s="20">
        <v>114226</v>
      </c>
      <c r="J239" s="10"/>
      <c r="K239" s="308">
        <v>1328214</v>
      </c>
      <c r="L239" s="309">
        <f t="shared" si="56"/>
        <v>8.5999695832147532E-2</v>
      </c>
      <c r="M239" s="5"/>
    </row>
    <row r="240" spans="1:13" ht="26" hidden="1" x14ac:dyDescent="0.3">
      <c r="A240" s="508"/>
      <c r="B240" s="520"/>
      <c r="C240" s="52"/>
      <c r="D240" s="51" t="s">
        <v>387</v>
      </c>
      <c r="E240" s="2" t="s">
        <v>67</v>
      </c>
      <c r="F240" s="20">
        <v>37704</v>
      </c>
      <c r="G240" s="20">
        <v>37704</v>
      </c>
      <c r="H240" s="20">
        <v>37704</v>
      </c>
      <c r="I240" s="20">
        <v>37704</v>
      </c>
      <c r="J240" s="10"/>
      <c r="K240" s="308">
        <v>438415</v>
      </c>
      <c r="L240" s="309">
        <f t="shared" si="56"/>
        <v>8.6000707092594914E-2</v>
      </c>
      <c r="M240" s="5"/>
    </row>
    <row r="241" spans="1:13" ht="52" hidden="1" x14ac:dyDescent="0.3">
      <c r="A241" s="494"/>
      <c r="B241" s="498"/>
      <c r="C241" s="52"/>
      <c r="D241" s="51" t="s">
        <v>387</v>
      </c>
      <c r="E241" s="2" t="s">
        <v>372</v>
      </c>
      <c r="F241" s="20">
        <v>55836</v>
      </c>
      <c r="G241" s="20">
        <v>55836</v>
      </c>
      <c r="H241" s="20">
        <v>55836</v>
      </c>
      <c r="I241" s="20">
        <v>55836</v>
      </c>
      <c r="J241" s="10"/>
      <c r="K241" s="308">
        <v>649252</v>
      </c>
      <c r="L241" s="309">
        <f t="shared" si="56"/>
        <v>8.6000505196749497E-2</v>
      </c>
      <c r="M241" s="5"/>
    </row>
    <row r="242" spans="1:13" ht="57" hidden="1" customHeight="1" x14ac:dyDescent="0.3">
      <c r="A242" s="493">
        <v>9</v>
      </c>
      <c r="B242" s="497" t="s">
        <v>27</v>
      </c>
      <c r="C242" s="52" t="s">
        <v>388</v>
      </c>
      <c r="D242" s="521" t="s">
        <v>389</v>
      </c>
      <c r="E242" s="2" t="s">
        <v>372</v>
      </c>
      <c r="F242" s="20">
        <v>62180</v>
      </c>
      <c r="G242" s="20">
        <v>62180</v>
      </c>
      <c r="H242" s="20">
        <v>62180</v>
      </c>
      <c r="I242" s="20">
        <v>62180</v>
      </c>
      <c r="J242" s="10"/>
      <c r="K242" s="308">
        <v>723020</v>
      </c>
      <c r="L242" s="309">
        <f t="shared" si="56"/>
        <v>8.600038726452934E-2</v>
      </c>
      <c r="M242" s="5"/>
    </row>
    <row r="243" spans="1:13" ht="52" hidden="1" x14ac:dyDescent="0.3">
      <c r="A243" s="494"/>
      <c r="B243" s="498"/>
      <c r="C243" s="52" t="s">
        <v>390</v>
      </c>
      <c r="D243" s="523"/>
      <c r="E243" s="2" t="s">
        <v>372</v>
      </c>
      <c r="F243" s="20">
        <v>24232</v>
      </c>
      <c r="G243" s="20">
        <v>24232</v>
      </c>
      <c r="H243" s="20">
        <v>24232</v>
      </c>
      <c r="I243" s="20">
        <v>24232</v>
      </c>
      <c r="J243" s="10"/>
      <c r="K243" s="308">
        <v>281772</v>
      </c>
      <c r="L243" s="309">
        <f t="shared" si="56"/>
        <v>8.5998608804281479E-2</v>
      </c>
      <c r="M243" s="5"/>
    </row>
    <row r="244" spans="1:13" ht="26" hidden="1" x14ac:dyDescent="0.3">
      <c r="A244" s="7">
        <v>10</v>
      </c>
      <c r="B244" s="21" t="s">
        <v>27</v>
      </c>
      <c r="C244" s="52"/>
      <c r="D244" s="51" t="s">
        <v>391</v>
      </c>
      <c r="E244" s="2" t="s">
        <v>67</v>
      </c>
      <c r="F244" s="20">
        <v>88852</v>
      </c>
      <c r="G244" s="20">
        <v>88852</v>
      </c>
      <c r="H244" s="20">
        <v>88852</v>
      </c>
      <c r="I244" s="20">
        <v>88852</v>
      </c>
      <c r="J244" s="10"/>
      <c r="K244" s="308">
        <v>1018928</v>
      </c>
      <c r="L244" s="309">
        <f t="shared" si="56"/>
        <v>8.7201450936670699E-2</v>
      </c>
      <c r="M244" s="5"/>
    </row>
    <row r="245" spans="1:13" ht="52" hidden="1" x14ac:dyDescent="0.3">
      <c r="A245" s="7">
        <v>11</v>
      </c>
      <c r="B245" s="21" t="s">
        <v>27</v>
      </c>
      <c r="C245" s="52"/>
      <c r="D245" s="51" t="s">
        <v>392</v>
      </c>
      <c r="E245" s="2" t="s">
        <v>67</v>
      </c>
      <c r="F245" s="20">
        <v>507067</v>
      </c>
      <c r="G245" s="20">
        <v>507067</v>
      </c>
      <c r="H245" s="20">
        <v>507067</v>
      </c>
      <c r="I245" s="20">
        <v>507067</v>
      </c>
      <c r="J245" s="10"/>
      <c r="K245" s="308">
        <v>5896127</v>
      </c>
      <c r="L245" s="309">
        <f t="shared" si="56"/>
        <v>8.6000013229023051E-2</v>
      </c>
      <c r="M245" s="5"/>
    </row>
    <row r="246" spans="1:13" ht="52" hidden="1" x14ac:dyDescent="0.3">
      <c r="A246" s="7">
        <v>12</v>
      </c>
      <c r="B246" s="21" t="s">
        <v>27</v>
      </c>
      <c r="C246" s="52"/>
      <c r="D246" s="51" t="s">
        <v>393</v>
      </c>
      <c r="E246" s="2" t="s">
        <v>67</v>
      </c>
      <c r="F246" s="20">
        <v>64225</v>
      </c>
      <c r="G246" s="20">
        <v>64225</v>
      </c>
      <c r="H246" s="20">
        <v>64225</v>
      </c>
      <c r="I246" s="20">
        <v>64225</v>
      </c>
      <c r="J246" s="10"/>
      <c r="K246" s="308">
        <v>746799</v>
      </c>
      <c r="L246" s="309">
        <f t="shared" si="56"/>
        <v>8.6000382967840072E-2</v>
      </c>
      <c r="M246" s="5"/>
    </row>
    <row r="247" spans="1:13" ht="26.15" hidden="1" customHeight="1" x14ac:dyDescent="0.3">
      <c r="A247" s="493">
        <v>13</v>
      </c>
      <c r="B247" s="497" t="s">
        <v>27</v>
      </c>
      <c r="C247" s="52" t="s">
        <v>394</v>
      </c>
      <c r="D247" s="521" t="s">
        <v>395</v>
      </c>
      <c r="E247" s="4" t="s">
        <v>65</v>
      </c>
      <c r="F247" s="20">
        <v>116244</v>
      </c>
      <c r="G247" s="20">
        <v>116244</v>
      </c>
      <c r="H247" s="20">
        <v>116244</v>
      </c>
      <c r="I247" s="20">
        <v>116244</v>
      </c>
      <c r="J247" s="10"/>
      <c r="K247" s="308">
        <v>3116566</v>
      </c>
      <c r="L247" s="309">
        <f t="shared" si="56"/>
        <v>3.729874483646424E-2</v>
      </c>
      <c r="M247" s="5"/>
    </row>
    <row r="248" spans="1:13" ht="26" hidden="1" x14ac:dyDescent="0.3">
      <c r="A248" s="508"/>
      <c r="B248" s="520"/>
      <c r="C248" s="52" t="s">
        <v>396</v>
      </c>
      <c r="D248" s="522"/>
      <c r="E248" s="305" t="s">
        <v>66</v>
      </c>
      <c r="F248" s="20">
        <v>12729</v>
      </c>
      <c r="G248" s="20">
        <v>12729</v>
      </c>
      <c r="H248" s="20">
        <v>12729</v>
      </c>
      <c r="I248" s="20">
        <v>12729</v>
      </c>
      <c r="J248" s="10"/>
      <c r="K248" s="308">
        <v>12729</v>
      </c>
      <c r="L248" s="309">
        <f t="shared" si="56"/>
        <v>1</v>
      </c>
      <c r="M248" s="5"/>
    </row>
    <row r="249" spans="1:13" ht="26" hidden="1" x14ac:dyDescent="0.3">
      <c r="A249" s="508"/>
      <c r="B249" s="520"/>
      <c r="C249" s="52" t="s">
        <v>397</v>
      </c>
      <c r="D249" s="522"/>
      <c r="E249" s="305" t="s">
        <v>66</v>
      </c>
      <c r="F249" s="20">
        <v>8163</v>
      </c>
      <c r="G249" s="20">
        <v>8163</v>
      </c>
      <c r="H249" s="20">
        <v>8163</v>
      </c>
      <c r="I249" s="20">
        <v>8163</v>
      </c>
      <c r="J249" s="10"/>
      <c r="K249" s="308">
        <v>20500</v>
      </c>
      <c r="L249" s="309">
        <f t="shared" si="56"/>
        <v>0.39819512195121953</v>
      </c>
      <c r="M249" s="5"/>
    </row>
    <row r="250" spans="1:13" ht="39" hidden="1" x14ac:dyDescent="0.3">
      <c r="A250" s="508"/>
      <c r="B250" s="520"/>
      <c r="C250" s="52" t="s">
        <v>398</v>
      </c>
      <c r="D250" s="522"/>
      <c r="E250" s="305" t="s">
        <v>66</v>
      </c>
      <c r="F250" s="20">
        <v>8100</v>
      </c>
      <c r="G250" s="20">
        <v>8100</v>
      </c>
      <c r="H250" s="20">
        <v>8100</v>
      </c>
      <c r="I250" s="20">
        <v>8100</v>
      </c>
      <c r="J250" s="10"/>
      <c r="K250" s="308">
        <v>8100</v>
      </c>
      <c r="L250" s="309">
        <f t="shared" si="56"/>
        <v>1</v>
      </c>
      <c r="M250" s="5"/>
    </row>
    <row r="251" spans="1:13" ht="39" hidden="1" x14ac:dyDescent="0.3">
      <c r="A251" s="508"/>
      <c r="B251" s="520"/>
      <c r="C251" s="52" t="s">
        <v>399</v>
      </c>
      <c r="D251" s="522"/>
      <c r="E251" s="305" t="s">
        <v>66</v>
      </c>
      <c r="F251" s="20">
        <v>6500</v>
      </c>
      <c r="G251" s="20">
        <v>6500</v>
      </c>
      <c r="H251" s="20">
        <v>6500</v>
      </c>
      <c r="I251" s="20">
        <v>6500</v>
      </c>
      <c r="J251" s="10"/>
      <c r="K251" s="308">
        <v>6500</v>
      </c>
      <c r="L251" s="309">
        <f t="shared" si="56"/>
        <v>1</v>
      </c>
      <c r="M251" s="5"/>
    </row>
    <row r="252" spans="1:13" ht="39" hidden="1" x14ac:dyDescent="0.3">
      <c r="A252" s="508"/>
      <c r="B252" s="520"/>
      <c r="C252" s="52" t="s">
        <v>400</v>
      </c>
      <c r="D252" s="522"/>
      <c r="E252" s="305" t="s">
        <v>66</v>
      </c>
      <c r="F252" s="20">
        <v>10500</v>
      </c>
      <c r="G252" s="20">
        <v>10500</v>
      </c>
      <c r="H252" s="20">
        <v>10500</v>
      </c>
      <c r="I252" s="20">
        <v>10500</v>
      </c>
      <c r="J252" s="10"/>
      <c r="K252" s="308">
        <v>21000</v>
      </c>
      <c r="L252" s="309">
        <f t="shared" si="56"/>
        <v>0.5</v>
      </c>
      <c r="M252" s="5"/>
    </row>
    <row r="253" spans="1:13" ht="26" hidden="1" x14ac:dyDescent="0.3">
      <c r="A253" s="508"/>
      <c r="B253" s="520"/>
      <c r="C253" s="52" t="s">
        <v>401</v>
      </c>
      <c r="D253" s="522"/>
      <c r="E253" s="305" t="s">
        <v>66</v>
      </c>
      <c r="F253" s="20">
        <v>16500</v>
      </c>
      <c r="G253" s="20">
        <v>16500</v>
      </c>
      <c r="H253" s="20">
        <v>16500</v>
      </c>
      <c r="I253" s="20">
        <v>16500</v>
      </c>
      <c r="J253" s="10"/>
      <c r="K253" s="308">
        <v>31000</v>
      </c>
      <c r="L253" s="309">
        <f t="shared" si="56"/>
        <v>0.532258064516129</v>
      </c>
      <c r="M253" s="5"/>
    </row>
    <row r="254" spans="1:13" ht="26" hidden="1" x14ac:dyDescent="0.3">
      <c r="A254" s="508"/>
      <c r="B254" s="520"/>
      <c r="C254" s="52" t="s">
        <v>402</v>
      </c>
      <c r="D254" s="522"/>
      <c r="E254" s="305" t="s">
        <v>66</v>
      </c>
      <c r="F254" s="20">
        <v>2000</v>
      </c>
      <c r="G254" s="20">
        <v>2000</v>
      </c>
      <c r="H254" s="20">
        <v>2000</v>
      </c>
      <c r="I254" s="20">
        <v>2000</v>
      </c>
      <c r="J254" s="10"/>
      <c r="K254" s="308">
        <v>15200</v>
      </c>
      <c r="L254" s="309">
        <f t="shared" si="56"/>
        <v>0.13157894736842105</v>
      </c>
      <c r="M254" s="5"/>
    </row>
    <row r="255" spans="1:13" ht="26" hidden="1" x14ac:dyDescent="0.3">
      <c r="A255" s="508"/>
      <c r="B255" s="520"/>
      <c r="C255" s="52" t="s">
        <v>403</v>
      </c>
      <c r="D255" s="522"/>
      <c r="E255" s="305" t="s">
        <v>66</v>
      </c>
      <c r="F255" s="20">
        <v>20000</v>
      </c>
      <c r="G255" s="20">
        <v>20000</v>
      </c>
      <c r="H255" s="20">
        <v>20000</v>
      </c>
      <c r="I255" s="20">
        <v>20000</v>
      </c>
      <c r="J255" s="10"/>
      <c r="K255" s="308">
        <v>24000</v>
      </c>
      <c r="L255" s="309">
        <f t="shared" si="56"/>
        <v>0.83333333333333337</v>
      </c>
      <c r="M255" s="5"/>
    </row>
    <row r="256" spans="1:13" ht="52" hidden="1" x14ac:dyDescent="0.3">
      <c r="A256" s="494"/>
      <c r="B256" s="498"/>
      <c r="C256" s="52" t="s">
        <v>404</v>
      </c>
      <c r="D256" s="523"/>
      <c r="E256" s="2" t="s">
        <v>68</v>
      </c>
      <c r="F256" s="20">
        <v>100000</v>
      </c>
      <c r="G256" s="20">
        <v>100000</v>
      </c>
      <c r="H256" s="20">
        <v>100000</v>
      </c>
      <c r="I256" s="20">
        <v>100000</v>
      </c>
      <c r="J256" s="10"/>
      <c r="K256" s="308">
        <v>100000</v>
      </c>
      <c r="L256" s="309">
        <f t="shared" si="56"/>
        <v>1</v>
      </c>
      <c r="M256" s="5"/>
    </row>
    <row r="257" spans="1:13" ht="26" hidden="1" x14ac:dyDescent="0.3">
      <c r="A257" s="524">
        <v>14</v>
      </c>
      <c r="B257" s="514" t="s">
        <v>27</v>
      </c>
      <c r="C257" s="52" t="s">
        <v>405</v>
      </c>
      <c r="D257" s="525" t="s">
        <v>210</v>
      </c>
      <c r="E257" s="4" t="s">
        <v>65</v>
      </c>
      <c r="F257" s="20">
        <v>494321</v>
      </c>
      <c r="G257" s="20">
        <v>494321</v>
      </c>
      <c r="H257" s="20">
        <v>494321</v>
      </c>
      <c r="I257" s="20">
        <v>494321</v>
      </c>
      <c r="J257" s="10"/>
      <c r="K257" s="308">
        <v>747720</v>
      </c>
      <c r="L257" s="309">
        <f t="shared" si="56"/>
        <v>0.66110442411597925</v>
      </c>
      <c r="M257" s="5"/>
    </row>
    <row r="258" spans="1:13" ht="26" hidden="1" x14ac:dyDescent="0.3">
      <c r="A258" s="524"/>
      <c r="B258" s="514"/>
      <c r="C258" s="52" t="s">
        <v>406</v>
      </c>
      <c r="D258" s="525"/>
      <c r="E258" s="2" t="s">
        <v>66</v>
      </c>
      <c r="F258" s="20">
        <v>189707</v>
      </c>
      <c r="G258" s="20">
        <v>189707</v>
      </c>
      <c r="H258" s="20">
        <v>189707</v>
      </c>
      <c r="I258" s="20">
        <v>189707</v>
      </c>
      <c r="J258" s="10"/>
      <c r="K258" s="308">
        <v>1355373</v>
      </c>
      <c r="L258" s="309">
        <f t="shared" si="56"/>
        <v>0.13996663649047161</v>
      </c>
      <c r="M258" s="3"/>
    </row>
    <row r="259" spans="1:13" x14ac:dyDescent="0.3">
      <c r="A259" s="457" t="s">
        <v>407</v>
      </c>
      <c r="B259" s="458"/>
      <c r="C259" s="458"/>
      <c r="D259" s="458"/>
      <c r="E259" s="459"/>
      <c r="F259" s="43">
        <f>SUM(F266:F273)</f>
        <v>18087021</v>
      </c>
      <c r="G259" s="43">
        <f t="shared" ref="G259:I259" si="63">SUM(G266:G273)</f>
        <v>18091557</v>
      </c>
      <c r="H259" s="43">
        <f t="shared" si="63"/>
        <v>18096255</v>
      </c>
      <c r="I259" s="43">
        <f t="shared" si="63"/>
        <v>18101119</v>
      </c>
      <c r="J259" s="43"/>
      <c r="K259" s="226"/>
      <c r="L259" s="220"/>
      <c r="M259" s="142"/>
    </row>
    <row r="260" spans="1:13" x14ac:dyDescent="0.3">
      <c r="A260" s="460" t="s">
        <v>408</v>
      </c>
      <c r="B260" s="461"/>
      <c r="C260" s="461"/>
      <c r="D260" s="461"/>
      <c r="E260" s="462"/>
      <c r="F260" s="131">
        <v>23220238</v>
      </c>
      <c r="G260" s="86"/>
      <c r="H260" s="86"/>
      <c r="I260" s="86"/>
      <c r="J260" s="143"/>
      <c r="K260" s="227"/>
      <c r="L260" s="221"/>
      <c r="M260" s="144"/>
    </row>
    <row r="261" spans="1:13" x14ac:dyDescent="0.3">
      <c r="A261" s="463" t="s">
        <v>409</v>
      </c>
      <c r="B261" s="464"/>
      <c r="C261" s="464"/>
      <c r="D261" s="464"/>
      <c r="E261" s="465"/>
      <c r="F261" s="42">
        <f>F260-F259</f>
        <v>5133217</v>
      </c>
      <c r="G261" s="87"/>
      <c r="H261" s="87"/>
      <c r="I261" s="87"/>
      <c r="J261" s="143"/>
      <c r="K261" s="227"/>
      <c r="L261" s="221"/>
      <c r="M261" s="144"/>
    </row>
    <row r="262" spans="1:13" x14ac:dyDescent="0.3">
      <c r="A262" s="475" t="s">
        <v>66</v>
      </c>
      <c r="B262" s="476"/>
      <c r="C262" s="476"/>
      <c r="D262" s="476"/>
      <c r="E262" s="477"/>
      <c r="F262" s="363">
        <f>F266+F272+F273</f>
        <v>753224</v>
      </c>
      <c r="G262" s="363">
        <f t="shared" ref="G262:I262" si="64">G266+G272+G273</f>
        <v>757760</v>
      </c>
      <c r="H262" s="363">
        <f t="shared" si="64"/>
        <v>762458</v>
      </c>
      <c r="I262" s="363">
        <f t="shared" si="64"/>
        <v>767322</v>
      </c>
      <c r="J262" s="375"/>
      <c r="K262" s="368"/>
      <c r="L262" s="369"/>
      <c r="M262" s="374"/>
    </row>
    <row r="263" spans="1:13" x14ac:dyDescent="0.3">
      <c r="A263" s="475" t="s">
        <v>67</v>
      </c>
      <c r="B263" s="476"/>
      <c r="C263" s="476"/>
      <c r="D263" s="476"/>
      <c r="E263" s="477"/>
      <c r="F263" s="363">
        <f>F271</f>
        <v>572418</v>
      </c>
      <c r="G263" s="363">
        <f t="shared" ref="G263:I263" si="65">G271</f>
        <v>572418</v>
      </c>
      <c r="H263" s="363">
        <f t="shared" si="65"/>
        <v>572418</v>
      </c>
      <c r="I263" s="363">
        <f t="shared" si="65"/>
        <v>572418</v>
      </c>
      <c r="J263" s="375"/>
      <c r="K263" s="368"/>
      <c r="L263" s="369"/>
      <c r="M263" s="374"/>
    </row>
    <row r="264" spans="1:13" x14ac:dyDescent="0.3">
      <c r="A264" s="475" t="s">
        <v>68</v>
      </c>
      <c r="B264" s="476"/>
      <c r="C264" s="476"/>
      <c r="D264" s="476"/>
      <c r="E264" s="477"/>
      <c r="F264" s="363">
        <f>F267+F268</f>
        <v>8596034</v>
      </c>
      <c r="G264" s="363">
        <f t="shared" ref="G264:I264" si="66">G267+G268</f>
        <v>8596034</v>
      </c>
      <c r="H264" s="363">
        <f t="shared" si="66"/>
        <v>8596034</v>
      </c>
      <c r="I264" s="363">
        <f t="shared" si="66"/>
        <v>8596034</v>
      </c>
      <c r="J264" s="375"/>
      <c r="K264" s="368"/>
      <c r="L264" s="369"/>
      <c r="M264" s="374"/>
    </row>
    <row r="265" spans="1:13" x14ac:dyDescent="0.3">
      <c r="A265" s="475" t="s">
        <v>71</v>
      </c>
      <c r="B265" s="476"/>
      <c r="C265" s="476"/>
      <c r="D265" s="476"/>
      <c r="E265" s="477"/>
      <c r="F265" s="363">
        <f>F269+F270</f>
        <v>8165345</v>
      </c>
      <c r="G265" s="363">
        <f t="shared" ref="G265:I265" si="67">G269+G270</f>
        <v>8165345</v>
      </c>
      <c r="H265" s="363">
        <f t="shared" si="67"/>
        <v>8165345</v>
      </c>
      <c r="I265" s="363">
        <f t="shared" si="67"/>
        <v>8165345</v>
      </c>
      <c r="J265" s="375"/>
      <c r="K265" s="368"/>
      <c r="L265" s="369"/>
      <c r="M265" s="374"/>
    </row>
    <row r="266" spans="1:13" ht="26" hidden="1" x14ac:dyDescent="0.3">
      <c r="A266" s="493">
        <v>1</v>
      </c>
      <c r="B266" s="493" t="s">
        <v>28</v>
      </c>
      <c r="C266" s="530" t="s">
        <v>970</v>
      </c>
      <c r="D266" s="530" t="s">
        <v>410</v>
      </c>
      <c r="E266" s="8" t="s">
        <v>66</v>
      </c>
      <c r="F266" s="19">
        <v>540000</v>
      </c>
      <c r="G266" s="19">
        <v>540000</v>
      </c>
      <c r="H266" s="19">
        <v>540000</v>
      </c>
      <c r="I266" s="19">
        <v>540000</v>
      </c>
      <c r="J266" s="526" t="s">
        <v>411</v>
      </c>
      <c r="K266" s="310">
        <v>1194142</v>
      </c>
      <c r="L266" s="311">
        <f t="shared" si="56"/>
        <v>0.45220752640808209</v>
      </c>
      <c r="M266" s="528" t="s">
        <v>412</v>
      </c>
    </row>
    <row r="267" spans="1:13" ht="26" hidden="1" x14ac:dyDescent="0.3">
      <c r="A267" s="494"/>
      <c r="B267" s="494"/>
      <c r="C267" s="531"/>
      <c r="D267" s="531"/>
      <c r="E267" s="314" t="s">
        <v>68</v>
      </c>
      <c r="F267" s="19">
        <v>100000</v>
      </c>
      <c r="G267" s="19">
        <v>100000</v>
      </c>
      <c r="H267" s="19">
        <v>100000</v>
      </c>
      <c r="I267" s="19">
        <v>100000</v>
      </c>
      <c r="J267" s="527"/>
      <c r="K267" s="310">
        <v>100000</v>
      </c>
      <c r="L267" s="311">
        <f t="shared" si="56"/>
        <v>1</v>
      </c>
      <c r="M267" s="529"/>
    </row>
    <row r="268" spans="1:13" ht="39" hidden="1" customHeight="1" x14ac:dyDescent="0.3">
      <c r="A268" s="493">
        <v>2</v>
      </c>
      <c r="B268" s="493" t="s">
        <v>28</v>
      </c>
      <c r="C268" s="530" t="s">
        <v>413</v>
      </c>
      <c r="D268" s="530" t="s">
        <v>414</v>
      </c>
      <c r="E268" s="314" t="s">
        <v>68</v>
      </c>
      <c r="F268" s="19">
        <f>12496034-F269</f>
        <v>8496034</v>
      </c>
      <c r="G268" s="19">
        <f>12496034-G269</f>
        <v>8496034</v>
      </c>
      <c r="H268" s="19">
        <f>12496034-H269</f>
        <v>8496034</v>
      </c>
      <c r="I268" s="19">
        <f>12496034-I269</f>
        <v>8496034</v>
      </c>
      <c r="J268" s="530"/>
      <c r="K268" s="310">
        <v>143433613</v>
      </c>
      <c r="L268" s="311">
        <f t="shared" si="56"/>
        <v>5.9233214741651947E-2</v>
      </c>
      <c r="M268" s="528" t="s">
        <v>415</v>
      </c>
    </row>
    <row r="269" spans="1:13" ht="52" hidden="1" x14ac:dyDescent="0.3">
      <c r="A269" s="494"/>
      <c r="B269" s="494"/>
      <c r="C269" s="531"/>
      <c r="D269" s="531"/>
      <c r="E269" s="314" t="s">
        <v>416</v>
      </c>
      <c r="F269" s="19">
        <v>4000000</v>
      </c>
      <c r="G269" s="19">
        <v>4000000</v>
      </c>
      <c r="H269" s="19">
        <v>4000000</v>
      </c>
      <c r="I269" s="19">
        <v>4000000</v>
      </c>
      <c r="J269" s="531"/>
      <c r="K269" s="310">
        <v>7002521</v>
      </c>
      <c r="L269" s="311">
        <f t="shared" si="56"/>
        <v>0.57122284959945135</v>
      </c>
      <c r="M269" s="529"/>
    </row>
    <row r="270" spans="1:13" ht="52" hidden="1" x14ac:dyDescent="0.3">
      <c r="A270" s="7">
        <v>3</v>
      </c>
      <c r="B270" s="7" t="s">
        <v>28</v>
      </c>
      <c r="C270" s="130" t="s">
        <v>417</v>
      </c>
      <c r="D270" s="8" t="s">
        <v>418</v>
      </c>
      <c r="E270" s="314" t="s">
        <v>416</v>
      </c>
      <c r="F270" s="19">
        <v>4165345</v>
      </c>
      <c r="G270" s="19">
        <v>4165345</v>
      </c>
      <c r="H270" s="19">
        <v>4165345</v>
      </c>
      <c r="I270" s="19">
        <v>4165345</v>
      </c>
      <c r="J270" s="130"/>
      <c r="K270" s="310">
        <v>16177661</v>
      </c>
      <c r="L270" s="311">
        <f t="shared" si="56"/>
        <v>0.257475107186385</v>
      </c>
      <c r="M270" s="350" t="s">
        <v>415</v>
      </c>
    </row>
    <row r="271" spans="1:13" ht="39" hidden="1" x14ac:dyDescent="0.3">
      <c r="A271" s="7">
        <v>4</v>
      </c>
      <c r="B271" s="7" t="s">
        <v>28</v>
      </c>
      <c r="C271" s="130" t="s">
        <v>971</v>
      </c>
      <c r="D271" s="8" t="s">
        <v>972</v>
      </c>
      <c r="E271" s="314" t="s">
        <v>67</v>
      </c>
      <c r="F271" s="85">
        <v>572418</v>
      </c>
      <c r="G271" s="85">
        <v>572418</v>
      </c>
      <c r="H271" s="85">
        <v>572418</v>
      </c>
      <c r="I271" s="85">
        <v>572418</v>
      </c>
      <c r="J271" s="130"/>
      <c r="K271" s="310">
        <v>672418</v>
      </c>
      <c r="L271" s="311">
        <f t="shared" si="56"/>
        <v>0.85128298171672978</v>
      </c>
      <c r="M271" s="350"/>
    </row>
    <row r="272" spans="1:13" ht="26" hidden="1" x14ac:dyDescent="0.3">
      <c r="A272" s="7">
        <v>5</v>
      </c>
      <c r="B272" s="7" t="s">
        <v>28</v>
      </c>
      <c r="C272" s="130" t="s">
        <v>973</v>
      </c>
      <c r="D272" s="8" t="s">
        <v>410</v>
      </c>
      <c r="E272" s="314" t="s">
        <v>66</v>
      </c>
      <c r="F272" s="85">
        <v>62766</v>
      </c>
      <c r="G272" s="85">
        <v>62766</v>
      </c>
      <c r="H272" s="85">
        <v>62766</v>
      </c>
      <c r="I272" s="85">
        <v>62766</v>
      </c>
      <c r="J272" s="130"/>
      <c r="K272" s="310"/>
      <c r="L272" s="311" t="e">
        <f t="shared" si="56"/>
        <v>#DIV/0!</v>
      </c>
      <c r="M272" s="350"/>
    </row>
    <row r="273" spans="1:13" ht="39" hidden="1" x14ac:dyDescent="0.3">
      <c r="A273" s="7">
        <v>6</v>
      </c>
      <c r="B273" s="7" t="s">
        <v>28</v>
      </c>
      <c r="C273" s="130" t="s">
        <v>974</v>
      </c>
      <c r="D273" s="8" t="s">
        <v>975</v>
      </c>
      <c r="E273" s="314" t="s">
        <v>66</v>
      </c>
      <c r="F273" s="85">
        <v>150458</v>
      </c>
      <c r="G273" s="85">
        <v>154994</v>
      </c>
      <c r="H273" s="85">
        <v>159692</v>
      </c>
      <c r="I273" s="85">
        <v>164556</v>
      </c>
      <c r="J273" s="130"/>
      <c r="K273" s="310">
        <v>236104</v>
      </c>
      <c r="L273" s="311">
        <f t="shared" si="56"/>
        <v>0.6372530749161387</v>
      </c>
      <c r="M273" s="350"/>
    </row>
    <row r="274" spans="1:13" ht="52" hidden="1" x14ac:dyDescent="0.3">
      <c r="A274" s="7">
        <v>7</v>
      </c>
      <c r="B274" s="7" t="s">
        <v>28</v>
      </c>
      <c r="C274" s="314" t="s">
        <v>976</v>
      </c>
      <c r="D274" s="8" t="s">
        <v>50</v>
      </c>
      <c r="E274" s="8"/>
      <c r="F274" s="19">
        <v>5951250</v>
      </c>
      <c r="G274" s="19"/>
      <c r="H274" s="19"/>
      <c r="I274" s="19"/>
      <c r="J274" s="130"/>
      <c r="K274" s="310"/>
      <c r="L274" s="311" t="e">
        <f t="shared" si="56"/>
        <v>#DIV/0!</v>
      </c>
      <c r="M274" s="350" t="s">
        <v>419</v>
      </c>
    </row>
    <row r="275" spans="1:13" ht="78" hidden="1" x14ac:dyDescent="0.3">
      <c r="A275" s="7">
        <v>8</v>
      </c>
      <c r="B275" s="7" t="s">
        <v>28</v>
      </c>
      <c r="C275" s="8" t="s">
        <v>977</v>
      </c>
      <c r="D275" s="8" t="s">
        <v>978</v>
      </c>
      <c r="E275" s="8"/>
      <c r="F275" s="85">
        <v>871200</v>
      </c>
      <c r="G275" s="85">
        <v>871200</v>
      </c>
      <c r="H275" s="85">
        <v>871200</v>
      </c>
      <c r="I275" s="85">
        <v>871200</v>
      </c>
      <c r="J275" s="130"/>
      <c r="K275" s="214"/>
      <c r="L275" s="219"/>
      <c r="M275" s="313" t="s">
        <v>979</v>
      </c>
    </row>
    <row r="276" spans="1:13" x14ac:dyDescent="0.3">
      <c r="A276" s="457" t="s">
        <v>420</v>
      </c>
      <c r="B276" s="458"/>
      <c r="C276" s="458"/>
      <c r="D276" s="458"/>
      <c r="E276" s="459"/>
      <c r="F276" s="39">
        <f>SUM(F284:F295)</f>
        <v>2192794</v>
      </c>
      <c r="G276" s="39">
        <f t="shared" ref="G276:I276" si="68">SUM(G284:G295)</f>
        <v>2192794</v>
      </c>
      <c r="H276" s="39">
        <f t="shared" si="68"/>
        <v>2192794</v>
      </c>
      <c r="I276" s="39">
        <f t="shared" si="68"/>
        <v>2192794</v>
      </c>
      <c r="J276" s="141"/>
      <c r="K276" s="226"/>
      <c r="L276" s="220"/>
      <c r="M276" s="142"/>
    </row>
    <row r="277" spans="1:13" x14ac:dyDescent="0.3">
      <c r="A277" s="460" t="s">
        <v>421</v>
      </c>
      <c r="B277" s="461"/>
      <c r="C277" s="461"/>
      <c r="D277" s="461"/>
      <c r="E277" s="462"/>
      <c r="F277" s="40">
        <v>2192794</v>
      </c>
      <c r="G277" s="86"/>
      <c r="H277" s="86"/>
      <c r="I277" s="86"/>
      <c r="J277" s="143"/>
      <c r="K277" s="227"/>
      <c r="L277" s="221"/>
      <c r="M277" s="144"/>
    </row>
    <row r="278" spans="1:13" x14ac:dyDescent="0.3">
      <c r="A278" s="463" t="s">
        <v>422</v>
      </c>
      <c r="B278" s="464"/>
      <c r="C278" s="464"/>
      <c r="D278" s="464"/>
      <c r="E278" s="465"/>
      <c r="F278" s="42">
        <f>F277-F276</f>
        <v>0</v>
      </c>
      <c r="G278" s="87"/>
      <c r="H278" s="87"/>
      <c r="I278" s="87"/>
      <c r="J278" s="143"/>
      <c r="K278" s="227"/>
      <c r="L278" s="221"/>
      <c r="M278" s="144"/>
    </row>
    <row r="279" spans="1:13" x14ac:dyDescent="0.3">
      <c r="A279" s="475" t="s">
        <v>65</v>
      </c>
      <c r="B279" s="476"/>
      <c r="C279" s="476"/>
      <c r="D279" s="476"/>
      <c r="E279" s="477"/>
      <c r="F279" s="363">
        <f>F284+F288+F292+F295</f>
        <v>538483</v>
      </c>
      <c r="G279" s="363">
        <f t="shared" ref="G279:I279" si="69">G284+G288+G292+G295</f>
        <v>538483</v>
      </c>
      <c r="H279" s="363">
        <f t="shared" si="69"/>
        <v>538483</v>
      </c>
      <c r="I279" s="363">
        <f t="shared" si="69"/>
        <v>538483</v>
      </c>
      <c r="J279" s="327"/>
      <c r="K279" s="368"/>
      <c r="L279" s="369"/>
      <c r="M279" s="366"/>
    </row>
    <row r="280" spans="1:13" x14ac:dyDescent="0.3">
      <c r="A280" s="475" t="s">
        <v>66</v>
      </c>
      <c r="B280" s="476"/>
      <c r="C280" s="476"/>
      <c r="D280" s="476"/>
      <c r="E280" s="477"/>
      <c r="F280" s="363">
        <f>F285+F289+F293</f>
        <v>203267</v>
      </c>
      <c r="G280" s="363">
        <f t="shared" ref="G280:I280" si="70">G285+G289+G293</f>
        <v>0</v>
      </c>
      <c r="H280" s="363">
        <f t="shared" si="70"/>
        <v>0</v>
      </c>
      <c r="I280" s="363">
        <f t="shared" si="70"/>
        <v>0</v>
      </c>
      <c r="J280" s="327"/>
      <c r="K280" s="368"/>
      <c r="L280" s="369"/>
      <c r="M280" s="366"/>
    </row>
    <row r="281" spans="1:13" x14ac:dyDescent="0.3">
      <c r="A281" s="475" t="s">
        <v>68</v>
      </c>
      <c r="B281" s="476"/>
      <c r="C281" s="476"/>
      <c r="D281" s="476"/>
      <c r="E281" s="477"/>
      <c r="F281" s="363">
        <f>F286+F290+F294</f>
        <v>76554</v>
      </c>
      <c r="G281" s="363">
        <f t="shared" ref="G281:I281" si="71">G286+G290+G294</f>
        <v>0</v>
      </c>
      <c r="H281" s="363">
        <f t="shared" si="71"/>
        <v>0</v>
      </c>
      <c r="I281" s="363">
        <f t="shared" si="71"/>
        <v>0</v>
      </c>
      <c r="J281" s="327"/>
      <c r="K281" s="368"/>
      <c r="L281" s="369"/>
      <c r="M281" s="366"/>
    </row>
    <row r="282" spans="1:13" x14ac:dyDescent="0.3">
      <c r="A282" s="475" t="s">
        <v>69</v>
      </c>
      <c r="B282" s="476"/>
      <c r="C282" s="476"/>
      <c r="D282" s="476"/>
      <c r="E282" s="477"/>
      <c r="F282" s="363">
        <f>F287</f>
        <v>164795</v>
      </c>
      <c r="G282" s="363">
        <f t="shared" ref="G282:I282" si="72">G287</f>
        <v>1654311</v>
      </c>
      <c r="H282" s="363">
        <f t="shared" si="72"/>
        <v>1654311</v>
      </c>
      <c r="I282" s="363">
        <f t="shared" si="72"/>
        <v>1654311</v>
      </c>
      <c r="J282" s="327"/>
      <c r="K282" s="368"/>
      <c r="L282" s="369"/>
      <c r="M282" s="366"/>
    </row>
    <row r="283" spans="1:13" x14ac:dyDescent="0.3">
      <c r="A283" s="475" t="s">
        <v>70</v>
      </c>
      <c r="B283" s="476"/>
      <c r="C283" s="476"/>
      <c r="D283" s="476"/>
      <c r="E283" s="477"/>
      <c r="F283" s="363">
        <f>F291</f>
        <v>1209695</v>
      </c>
      <c r="G283" s="363">
        <f t="shared" ref="G283:I283" si="73">G291</f>
        <v>0</v>
      </c>
      <c r="H283" s="363">
        <f t="shared" si="73"/>
        <v>0</v>
      </c>
      <c r="I283" s="363">
        <f t="shared" si="73"/>
        <v>0</v>
      </c>
      <c r="J283" s="327"/>
      <c r="K283" s="368"/>
      <c r="L283" s="369"/>
      <c r="M283" s="366"/>
    </row>
    <row r="284" spans="1:13" ht="26" hidden="1" x14ac:dyDescent="0.3">
      <c r="A284" s="7">
        <v>1</v>
      </c>
      <c r="B284" s="7" t="s">
        <v>29</v>
      </c>
      <c r="C284" s="1"/>
      <c r="D284" s="2" t="s">
        <v>423</v>
      </c>
      <c r="E284" s="8" t="s">
        <v>319</v>
      </c>
      <c r="F284" s="84">
        <v>214866</v>
      </c>
      <c r="G284" s="84">
        <v>214866</v>
      </c>
      <c r="H284" s="84">
        <v>214866</v>
      </c>
      <c r="I284" s="84">
        <v>214866</v>
      </c>
      <c r="J284" s="5"/>
      <c r="K284" s="310">
        <v>7162195</v>
      </c>
      <c r="L284" s="311">
        <f t="shared" si="56"/>
        <v>3.0000020943300204E-2</v>
      </c>
      <c r="M284" s="53" t="s">
        <v>982</v>
      </c>
    </row>
    <row r="285" spans="1:13" ht="39" hidden="1" x14ac:dyDescent="0.3">
      <c r="A285" s="7">
        <v>2</v>
      </c>
      <c r="B285" s="7" t="s">
        <v>29</v>
      </c>
      <c r="C285" s="1"/>
      <c r="D285" s="2" t="s">
        <v>423</v>
      </c>
      <c r="E285" s="8" t="s">
        <v>66</v>
      </c>
      <c r="F285" s="84">
        <v>100203</v>
      </c>
      <c r="G285" s="84"/>
      <c r="H285" s="84"/>
      <c r="I285" s="84"/>
      <c r="J285" s="5"/>
      <c r="K285" s="310">
        <v>1461161</v>
      </c>
      <c r="L285" s="311">
        <f t="shared" si="56"/>
        <v>6.8577658451053652E-2</v>
      </c>
      <c r="M285" s="53" t="s">
        <v>983</v>
      </c>
    </row>
    <row r="286" spans="1:13" ht="26" hidden="1" x14ac:dyDescent="0.3">
      <c r="A286" s="7">
        <v>3</v>
      </c>
      <c r="B286" s="7" t="s">
        <v>29</v>
      </c>
      <c r="C286" s="1"/>
      <c r="D286" s="2" t="s">
        <v>423</v>
      </c>
      <c r="E286" s="8" t="s">
        <v>68</v>
      </c>
      <c r="F286" s="20">
        <v>60000</v>
      </c>
      <c r="G286" s="84"/>
      <c r="H286" s="84"/>
      <c r="I286" s="84"/>
      <c r="J286" s="5"/>
      <c r="K286" s="310">
        <v>140864</v>
      </c>
      <c r="L286" s="311">
        <f t="shared" si="56"/>
        <v>0.42594275329395731</v>
      </c>
      <c r="M286" s="53" t="s">
        <v>984</v>
      </c>
    </row>
    <row r="287" spans="1:13" ht="91" hidden="1" x14ac:dyDescent="0.3">
      <c r="A287" s="7">
        <v>4</v>
      </c>
      <c r="B287" s="7" t="s">
        <v>29</v>
      </c>
      <c r="C287" s="1"/>
      <c r="D287" s="9" t="s">
        <v>424</v>
      </c>
      <c r="E287" s="2" t="s">
        <v>69</v>
      </c>
      <c r="F287" s="84">
        <v>164795</v>
      </c>
      <c r="G287" s="84">
        <v>1654311</v>
      </c>
      <c r="H287" s="84">
        <v>1654311</v>
      </c>
      <c r="I287" s="84">
        <v>1654311</v>
      </c>
      <c r="J287" s="10"/>
      <c r="K287" s="308">
        <v>118596552</v>
      </c>
      <c r="L287" s="309">
        <f t="shared" si="56"/>
        <v>1.3895429270152813E-3</v>
      </c>
      <c r="M287" s="53" t="s">
        <v>985</v>
      </c>
    </row>
    <row r="288" spans="1:13" ht="26" hidden="1" x14ac:dyDescent="0.3">
      <c r="A288" s="7">
        <v>5</v>
      </c>
      <c r="B288" s="7" t="s">
        <v>29</v>
      </c>
      <c r="C288" s="1"/>
      <c r="D288" s="54" t="s">
        <v>425</v>
      </c>
      <c r="E288" s="8" t="s">
        <v>319</v>
      </c>
      <c r="F288" s="84">
        <v>123297</v>
      </c>
      <c r="G288" s="84">
        <v>123297</v>
      </c>
      <c r="H288" s="84">
        <v>123297</v>
      </c>
      <c r="I288" s="84">
        <v>123297</v>
      </c>
      <c r="J288" s="10"/>
      <c r="K288" s="308">
        <v>4109897</v>
      </c>
      <c r="L288" s="309">
        <f t="shared" si="56"/>
        <v>3.000002189835901E-2</v>
      </c>
      <c r="M288" s="53" t="s">
        <v>982</v>
      </c>
    </row>
    <row r="289" spans="1:13" ht="52" hidden="1" x14ac:dyDescent="0.3">
      <c r="A289" s="7">
        <v>6</v>
      </c>
      <c r="B289" s="7" t="s">
        <v>29</v>
      </c>
      <c r="C289" s="1"/>
      <c r="D289" s="54" t="s">
        <v>425</v>
      </c>
      <c r="E289" s="8" t="s">
        <v>66</v>
      </c>
      <c r="F289" s="84">
        <v>38771</v>
      </c>
      <c r="G289" s="84"/>
      <c r="H289" s="84"/>
      <c r="I289" s="84"/>
      <c r="J289" s="10"/>
      <c r="K289" s="308">
        <v>432189</v>
      </c>
      <c r="L289" s="309">
        <f t="shared" si="56"/>
        <v>8.9708437743672334E-2</v>
      </c>
      <c r="M289" s="53" t="s">
        <v>426</v>
      </c>
    </row>
    <row r="290" spans="1:13" ht="26" hidden="1" x14ac:dyDescent="0.3">
      <c r="A290" s="7">
        <v>7</v>
      </c>
      <c r="B290" s="7" t="s">
        <v>29</v>
      </c>
      <c r="C290" s="1"/>
      <c r="D290" s="54" t="s">
        <v>425</v>
      </c>
      <c r="E290" s="8" t="s">
        <v>68</v>
      </c>
      <c r="F290" s="20">
        <v>6554</v>
      </c>
      <c r="G290" s="84"/>
      <c r="H290" s="84"/>
      <c r="I290" s="84"/>
      <c r="J290" s="10"/>
      <c r="K290" s="308">
        <v>21717</v>
      </c>
      <c r="L290" s="309">
        <f t="shared" ref="L290:L311" si="74">F290/K290</f>
        <v>0.30179122346548787</v>
      </c>
      <c r="M290" s="53" t="s">
        <v>986</v>
      </c>
    </row>
    <row r="291" spans="1:13" ht="117" hidden="1" x14ac:dyDescent="0.3">
      <c r="A291" s="7">
        <v>8</v>
      </c>
      <c r="B291" s="7" t="s">
        <v>29</v>
      </c>
      <c r="C291" s="1"/>
      <c r="D291" s="5" t="s">
        <v>427</v>
      </c>
      <c r="E291" s="24" t="s">
        <v>428</v>
      </c>
      <c r="F291" s="84">
        <v>1209695</v>
      </c>
      <c r="G291" s="84"/>
      <c r="H291" s="84"/>
      <c r="I291" s="84"/>
      <c r="J291" s="53" t="s">
        <v>429</v>
      </c>
      <c r="K291" s="310">
        <v>2517962</v>
      </c>
      <c r="L291" s="311">
        <f t="shared" si="74"/>
        <v>0.48042623359685332</v>
      </c>
      <c r="M291" s="53" t="s">
        <v>987</v>
      </c>
    </row>
    <row r="292" spans="1:13" ht="26" hidden="1" x14ac:dyDescent="0.3">
      <c r="A292" s="7">
        <v>9</v>
      </c>
      <c r="B292" s="7" t="s">
        <v>29</v>
      </c>
      <c r="C292" s="1"/>
      <c r="D292" s="5" t="s">
        <v>430</v>
      </c>
      <c r="E292" s="8" t="s">
        <v>319</v>
      </c>
      <c r="F292" s="84">
        <v>164498</v>
      </c>
      <c r="G292" s="84">
        <v>164498</v>
      </c>
      <c r="H292" s="84">
        <v>164498</v>
      </c>
      <c r="I292" s="84">
        <v>164498</v>
      </c>
      <c r="J292" s="10"/>
      <c r="K292" s="308">
        <v>5483259</v>
      </c>
      <c r="L292" s="309">
        <f t="shared" si="74"/>
        <v>3.000004194585738E-2</v>
      </c>
      <c r="M292" s="53" t="s">
        <v>982</v>
      </c>
    </row>
    <row r="293" spans="1:13" ht="26" hidden="1" x14ac:dyDescent="0.3">
      <c r="A293" s="7">
        <v>10</v>
      </c>
      <c r="B293" s="7" t="s">
        <v>29</v>
      </c>
      <c r="C293" s="1"/>
      <c r="D293" s="5" t="s">
        <v>430</v>
      </c>
      <c r="E293" s="8" t="s">
        <v>66</v>
      </c>
      <c r="F293" s="84">
        <v>64293</v>
      </c>
      <c r="G293" s="84"/>
      <c r="H293" s="84"/>
      <c r="I293" s="84"/>
      <c r="J293" s="10"/>
      <c r="K293" s="308">
        <v>694614</v>
      </c>
      <c r="L293" s="309">
        <f t="shared" si="74"/>
        <v>9.2559320716253918E-2</v>
      </c>
      <c r="M293" s="53" t="s">
        <v>988</v>
      </c>
    </row>
    <row r="294" spans="1:13" ht="26" hidden="1" x14ac:dyDescent="0.3">
      <c r="A294" s="7">
        <v>11</v>
      </c>
      <c r="B294" s="7" t="s">
        <v>29</v>
      </c>
      <c r="C294" s="1"/>
      <c r="D294" s="5" t="s">
        <v>430</v>
      </c>
      <c r="E294" s="8" t="s">
        <v>68</v>
      </c>
      <c r="F294" s="20">
        <v>10000</v>
      </c>
      <c r="G294" s="84"/>
      <c r="H294" s="84"/>
      <c r="I294" s="84"/>
      <c r="J294" s="10"/>
      <c r="K294" s="308">
        <v>48319</v>
      </c>
      <c r="L294" s="309">
        <f t="shared" si="74"/>
        <v>0.20695792545375524</v>
      </c>
      <c r="M294" s="53" t="s">
        <v>989</v>
      </c>
    </row>
    <row r="295" spans="1:13" ht="39" hidden="1" x14ac:dyDescent="0.3">
      <c r="A295" s="7">
        <v>12</v>
      </c>
      <c r="B295" s="7" t="s">
        <v>29</v>
      </c>
      <c r="C295" s="1"/>
      <c r="D295" s="5" t="s">
        <v>431</v>
      </c>
      <c r="E295" s="8" t="s">
        <v>319</v>
      </c>
      <c r="F295" s="84">
        <v>35822</v>
      </c>
      <c r="G295" s="84">
        <v>35822</v>
      </c>
      <c r="H295" s="84">
        <v>35822</v>
      </c>
      <c r="I295" s="84">
        <v>35822</v>
      </c>
      <c r="J295" s="10"/>
      <c r="K295" s="308">
        <v>1194068</v>
      </c>
      <c r="L295" s="309">
        <f t="shared" si="74"/>
        <v>2.9999966501070292E-2</v>
      </c>
      <c r="M295" s="53" t="s">
        <v>990</v>
      </c>
    </row>
    <row r="296" spans="1:13" x14ac:dyDescent="0.3">
      <c r="A296" s="457" t="s">
        <v>432</v>
      </c>
      <c r="B296" s="458"/>
      <c r="C296" s="458"/>
      <c r="D296" s="458"/>
      <c r="E296" s="459"/>
      <c r="F296" s="39">
        <f>F301+F302</f>
        <v>2215799</v>
      </c>
      <c r="G296" s="39">
        <f t="shared" ref="G296:I296" si="75">G301+G302</f>
        <v>2215799</v>
      </c>
      <c r="H296" s="39">
        <f t="shared" si="75"/>
        <v>2215799</v>
      </c>
      <c r="I296" s="39">
        <f t="shared" si="75"/>
        <v>2215799</v>
      </c>
      <c r="J296" s="141"/>
      <c r="K296" s="226"/>
      <c r="L296" s="220"/>
      <c r="M296" s="142"/>
    </row>
    <row r="297" spans="1:13" x14ac:dyDescent="0.3">
      <c r="A297" s="460" t="s">
        <v>433</v>
      </c>
      <c r="B297" s="461"/>
      <c r="C297" s="461"/>
      <c r="D297" s="461"/>
      <c r="E297" s="462"/>
      <c r="F297" s="99">
        <v>2215799</v>
      </c>
      <c r="G297" s="86"/>
      <c r="H297" s="86"/>
      <c r="I297" s="86"/>
      <c r="J297" s="143"/>
      <c r="K297" s="227"/>
      <c r="L297" s="221"/>
      <c r="M297" s="144"/>
    </row>
    <row r="298" spans="1:13" x14ac:dyDescent="0.3">
      <c r="A298" s="463" t="s">
        <v>434</v>
      </c>
      <c r="B298" s="464"/>
      <c r="C298" s="464"/>
      <c r="D298" s="464"/>
      <c r="E298" s="465"/>
      <c r="F298" s="44">
        <f>F297-F296</f>
        <v>0</v>
      </c>
      <c r="G298" s="87"/>
      <c r="H298" s="87"/>
      <c r="I298" s="87"/>
      <c r="J298" s="143"/>
      <c r="K298" s="227"/>
      <c r="L298" s="221"/>
      <c r="M298" s="144"/>
    </row>
    <row r="299" spans="1:13" x14ac:dyDescent="0.3">
      <c r="A299" s="475" t="s">
        <v>65</v>
      </c>
      <c r="B299" s="476"/>
      <c r="C299" s="476"/>
      <c r="D299" s="476"/>
      <c r="E299" s="477"/>
      <c r="F299" s="376">
        <f>F302</f>
        <v>587143</v>
      </c>
      <c r="G299" s="376">
        <f t="shared" ref="G299:I299" si="76">G302</f>
        <v>587143</v>
      </c>
      <c r="H299" s="376">
        <f t="shared" si="76"/>
        <v>587143</v>
      </c>
      <c r="I299" s="376">
        <f t="shared" si="76"/>
        <v>587143</v>
      </c>
      <c r="J299" s="327"/>
      <c r="K299" s="368"/>
      <c r="L299" s="369"/>
      <c r="M299" s="366"/>
    </row>
    <row r="300" spans="1:13" x14ac:dyDescent="0.3">
      <c r="A300" s="475" t="s">
        <v>69</v>
      </c>
      <c r="B300" s="476"/>
      <c r="C300" s="476"/>
      <c r="D300" s="476"/>
      <c r="E300" s="477"/>
      <c r="F300" s="376">
        <f>F301</f>
        <v>1628656</v>
      </c>
      <c r="G300" s="376">
        <f t="shared" ref="G300:I300" si="77">G301</f>
        <v>1628656</v>
      </c>
      <c r="H300" s="376">
        <f t="shared" si="77"/>
        <v>1628656</v>
      </c>
      <c r="I300" s="376">
        <f t="shared" si="77"/>
        <v>1628656</v>
      </c>
      <c r="J300" s="327"/>
      <c r="K300" s="368"/>
      <c r="L300" s="369"/>
      <c r="M300" s="366"/>
    </row>
    <row r="301" spans="1:13" ht="96" hidden="1" customHeight="1" x14ac:dyDescent="0.3">
      <c r="A301" s="7">
        <v>1</v>
      </c>
      <c r="B301" s="7" t="s">
        <v>29</v>
      </c>
      <c r="C301" s="1"/>
      <c r="D301" s="5" t="s">
        <v>435</v>
      </c>
      <c r="E301" s="2" t="s">
        <v>69</v>
      </c>
      <c r="F301" s="84">
        <v>1628656</v>
      </c>
      <c r="G301" s="84">
        <v>1628656</v>
      </c>
      <c r="H301" s="84">
        <v>1628656</v>
      </c>
      <c r="I301" s="84">
        <v>1628656</v>
      </c>
      <c r="J301" s="5"/>
      <c r="K301" s="310">
        <v>207038597</v>
      </c>
      <c r="L301" s="311">
        <f t="shared" si="74"/>
        <v>7.8664366142318868E-3</v>
      </c>
      <c r="M301" s="53" t="s">
        <v>980</v>
      </c>
    </row>
    <row r="302" spans="1:13" ht="39" hidden="1" x14ac:dyDescent="0.3">
      <c r="A302" s="7">
        <v>2</v>
      </c>
      <c r="B302" s="7" t="s">
        <v>29</v>
      </c>
      <c r="C302" s="1"/>
      <c r="D302" s="5" t="s">
        <v>436</v>
      </c>
      <c r="E302" s="8" t="s">
        <v>319</v>
      </c>
      <c r="F302" s="84">
        <v>587143</v>
      </c>
      <c r="G302" s="84">
        <v>587143</v>
      </c>
      <c r="H302" s="84">
        <v>587143</v>
      </c>
      <c r="I302" s="84">
        <v>587143</v>
      </c>
      <c r="J302" s="5"/>
      <c r="K302" s="310">
        <v>19571442</v>
      </c>
      <c r="L302" s="311">
        <f t="shared" si="74"/>
        <v>2.9999986715337584E-2</v>
      </c>
      <c r="M302" s="53" t="s">
        <v>981</v>
      </c>
    </row>
    <row r="303" spans="1:13" x14ac:dyDescent="0.3">
      <c r="A303" s="457" t="s">
        <v>437</v>
      </c>
      <c r="B303" s="458"/>
      <c r="C303" s="458"/>
      <c r="D303" s="458"/>
      <c r="E303" s="459"/>
      <c r="F303" s="39">
        <f>SUM(F311:F324)</f>
        <v>12111241</v>
      </c>
      <c r="G303" s="39">
        <f t="shared" ref="G303:I303" si="78">SUM(G311:G324)</f>
        <v>6735433</v>
      </c>
      <c r="H303" s="39">
        <f t="shared" si="78"/>
        <v>6735433</v>
      </c>
      <c r="I303" s="39">
        <f t="shared" si="78"/>
        <v>6735433</v>
      </c>
      <c r="J303" s="141"/>
      <c r="K303" s="226"/>
      <c r="L303" s="220"/>
      <c r="M303" s="142"/>
    </row>
    <row r="304" spans="1:13" x14ac:dyDescent="0.3">
      <c r="A304" s="460" t="s">
        <v>438</v>
      </c>
      <c r="B304" s="461"/>
      <c r="C304" s="461"/>
      <c r="D304" s="461"/>
      <c r="E304" s="462"/>
      <c r="F304" s="99">
        <v>15947438</v>
      </c>
      <c r="G304" s="86"/>
      <c r="H304" s="86"/>
      <c r="I304" s="86"/>
      <c r="J304" s="143"/>
      <c r="K304" s="227"/>
      <c r="L304" s="221"/>
      <c r="M304" s="144"/>
    </row>
    <row r="305" spans="1:13" x14ac:dyDescent="0.3">
      <c r="A305" s="463" t="s">
        <v>439</v>
      </c>
      <c r="B305" s="464"/>
      <c r="C305" s="464"/>
      <c r="D305" s="464"/>
      <c r="E305" s="465"/>
      <c r="F305" s="44">
        <f>F304-F303</f>
        <v>3836197</v>
      </c>
      <c r="G305" s="87"/>
      <c r="H305" s="87"/>
      <c r="I305" s="87"/>
      <c r="J305" s="143"/>
      <c r="K305" s="227"/>
      <c r="L305" s="221"/>
      <c r="M305" s="144"/>
    </row>
    <row r="306" spans="1:13" x14ac:dyDescent="0.3">
      <c r="A306" s="475" t="s">
        <v>65</v>
      </c>
      <c r="B306" s="476"/>
      <c r="C306" s="476"/>
      <c r="D306" s="476"/>
      <c r="E306" s="477"/>
      <c r="F306" s="376">
        <f>F312+F315+F317+F320+F322</f>
        <v>233903</v>
      </c>
      <c r="G306" s="376">
        <f t="shared" ref="G306:I306" si="79">G312+G315+G317+G320+G322</f>
        <v>233903</v>
      </c>
      <c r="H306" s="376">
        <f t="shared" si="79"/>
        <v>233903</v>
      </c>
      <c r="I306" s="376">
        <f t="shared" si="79"/>
        <v>233903</v>
      </c>
      <c r="J306" s="327"/>
      <c r="K306" s="368"/>
      <c r="L306" s="369"/>
      <c r="M306" s="366"/>
    </row>
    <row r="307" spans="1:13" x14ac:dyDescent="0.3">
      <c r="A307" s="475" t="s">
        <v>66</v>
      </c>
      <c r="B307" s="476"/>
      <c r="C307" s="476"/>
      <c r="D307" s="476"/>
      <c r="E307" s="477"/>
      <c r="F307" s="376">
        <f>F311+F313+F314+F316+F318</f>
        <v>881530</v>
      </c>
      <c r="G307" s="376">
        <f t="shared" ref="G307:I307" si="80">G311+G313+G314+G316+G318</f>
        <v>881530</v>
      </c>
      <c r="H307" s="376">
        <f t="shared" si="80"/>
        <v>881530</v>
      </c>
      <c r="I307" s="376">
        <f t="shared" si="80"/>
        <v>881530</v>
      </c>
      <c r="J307" s="327"/>
      <c r="K307" s="368"/>
      <c r="L307" s="369"/>
      <c r="M307" s="366"/>
    </row>
    <row r="308" spans="1:13" x14ac:dyDescent="0.3">
      <c r="A308" s="475" t="s">
        <v>67</v>
      </c>
      <c r="B308" s="476"/>
      <c r="C308" s="476"/>
      <c r="D308" s="476"/>
      <c r="E308" s="477"/>
      <c r="F308" s="376">
        <f>F319+F323</f>
        <v>2100000</v>
      </c>
      <c r="G308" s="376">
        <f t="shared" ref="G308:I308" si="81">G319+G323</f>
        <v>2100000</v>
      </c>
      <c r="H308" s="376">
        <f t="shared" si="81"/>
        <v>2100000</v>
      </c>
      <c r="I308" s="376">
        <f t="shared" si="81"/>
        <v>2100000</v>
      </c>
      <c r="J308" s="327"/>
      <c r="K308" s="368"/>
      <c r="L308" s="369"/>
      <c r="M308" s="366"/>
    </row>
    <row r="309" spans="1:13" x14ac:dyDescent="0.3">
      <c r="A309" s="475" t="s">
        <v>68</v>
      </c>
      <c r="B309" s="476"/>
      <c r="C309" s="476"/>
      <c r="D309" s="476"/>
      <c r="E309" s="477"/>
      <c r="F309" s="376">
        <f>F324</f>
        <v>5375808</v>
      </c>
      <c r="G309" s="376">
        <f t="shared" ref="G309:I309" si="82">G324</f>
        <v>0</v>
      </c>
      <c r="H309" s="376">
        <f t="shared" si="82"/>
        <v>0</v>
      </c>
      <c r="I309" s="376">
        <f t="shared" si="82"/>
        <v>0</v>
      </c>
      <c r="J309" s="327"/>
      <c r="K309" s="368"/>
      <c r="L309" s="369"/>
      <c r="M309" s="366"/>
    </row>
    <row r="310" spans="1:13" x14ac:dyDescent="0.3">
      <c r="A310" s="475" t="s">
        <v>69</v>
      </c>
      <c r="B310" s="476"/>
      <c r="C310" s="476"/>
      <c r="D310" s="476"/>
      <c r="E310" s="477"/>
      <c r="F310" s="376">
        <f>F321</f>
        <v>3520000</v>
      </c>
      <c r="G310" s="376">
        <f t="shared" ref="G310:I310" si="83">G321</f>
        <v>3520000</v>
      </c>
      <c r="H310" s="376">
        <f t="shared" si="83"/>
        <v>3520000</v>
      </c>
      <c r="I310" s="376">
        <f t="shared" si="83"/>
        <v>3520000</v>
      </c>
      <c r="J310" s="327"/>
      <c r="K310" s="368"/>
      <c r="L310" s="369"/>
      <c r="M310" s="366"/>
    </row>
    <row r="311" spans="1:13" ht="78" hidden="1" x14ac:dyDescent="0.3">
      <c r="A311" s="37">
        <v>1</v>
      </c>
      <c r="B311" s="7" t="s">
        <v>30</v>
      </c>
      <c r="C311" s="5" t="s">
        <v>440</v>
      </c>
      <c r="D311" s="5" t="s">
        <v>441</v>
      </c>
      <c r="E311" s="2" t="s">
        <v>66</v>
      </c>
      <c r="F311" s="95">
        <v>11424</v>
      </c>
      <c r="G311" s="95">
        <v>11424</v>
      </c>
      <c r="H311" s="95">
        <v>11424</v>
      </c>
      <c r="I311" s="95">
        <v>11424</v>
      </c>
      <c r="J311" s="5" t="s">
        <v>442</v>
      </c>
      <c r="K311" s="310">
        <v>14005</v>
      </c>
      <c r="L311" s="311">
        <f t="shared" si="74"/>
        <v>0.81570867547304537</v>
      </c>
      <c r="M311" s="211"/>
    </row>
    <row r="312" spans="1:13" ht="36.65" hidden="1" customHeight="1" x14ac:dyDescent="0.3">
      <c r="A312" s="493">
        <v>2</v>
      </c>
      <c r="B312" s="493" t="s">
        <v>30</v>
      </c>
      <c r="C312" s="497" t="s">
        <v>443</v>
      </c>
      <c r="D312" s="497" t="s">
        <v>444</v>
      </c>
      <c r="E312" s="2" t="s">
        <v>65</v>
      </c>
      <c r="F312" s="95">
        <v>71894</v>
      </c>
      <c r="G312" s="95">
        <v>71894</v>
      </c>
      <c r="H312" s="95">
        <v>71894</v>
      </c>
      <c r="I312" s="95">
        <v>71894</v>
      </c>
      <c r="J312" s="495" t="s">
        <v>445</v>
      </c>
      <c r="K312" s="517">
        <v>959836</v>
      </c>
      <c r="L312" s="519">
        <f>(F312+F313)/K312</f>
        <v>0.42923999516584083</v>
      </c>
      <c r="M312" s="532" t="s">
        <v>1009</v>
      </c>
    </row>
    <row r="313" spans="1:13" ht="45.65" hidden="1" customHeight="1" x14ac:dyDescent="0.3">
      <c r="A313" s="494"/>
      <c r="B313" s="494"/>
      <c r="C313" s="498"/>
      <c r="D313" s="498"/>
      <c r="E313" s="2" t="s">
        <v>66</v>
      </c>
      <c r="F313" s="95">
        <v>340106</v>
      </c>
      <c r="G313" s="95">
        <v>340106</v>
      </c>
      <c r="H313" s="95">
        <v>340106</v>
      </c>
      <c r="I313" s="95">
        <v>340106</v>
      </c>
      <c r="J313" s="496"/>
      <c r="K313" s="517"/>
      <c r="L313" s="519"/>
      <c r="M313" s="533"/>
    </row>
    <row r="314" spans="1:13" ht="78" hidden="1" x14ac:dyDescent="0.3">
      <c r="A314" s="37">
        <v>3</v>
      </c>
      <c r="B314" s="7" t="s">
        <v>30</v>
      </c>
      <c r="C314" s="5" t="s">
        <v>446</v>
      </c>
      <c r="D314" s="5" t="s">
        <v>447</v>
      </c>
      <c r="E314" s="2" t="s">
        <v>66</v>
      </c>
      <c r="F314" s="95">
        <v>400000</v>
      </c>
      <c r="G314" s="95">
        <v>400000</v>
      </c>
      <c r="H314" s="95">
        <v>400000</v>
      </c>
      <c r="I314" s="95">
        <v>400000</v>
      </c>
      <c r="J314" s="5" t="s">
        <v>448</v>
      </c>
      <c r="K314" s="310">
        <v>892744</v>
      </c>
      <c r="L314" s="311">
        <f t="shared" ref="L314:L320" si="84">F314/K314</f>
        <v>0.44805677775487712</v>
      </c>
      <c r="M314" s="211"/>
    </row>
    <row r="315" spans="1:13" ht="78" hidden="1" x14ac:dyDescent="0.3">
      <c r="A315" s="37">
        <v>4</v>
      </c>
      <c r="B315" s="7" t="s">
        <v>30</v>
      </c>
      <c r="C315" s="5" t="s">
        <v>449</v>
      </c>
      <c r="D315" s="5" t="s">
        <v>210</v>
      </c>
      <c r="E315" s="2" t="s">
        <v>65</v>
      </c>
      <c r="F315" s="95">
        <v>47009</v>
      </c>
      <c r="G315" s="95">
        <v>47009</v>
      </c>
      <c r="H315" s="95">
        <v>47009</v>
      </c>
      <c r="I315" s="95">
        <v>47009</v>
      </c>
      <c r="J315" s="5" t="s">
        <v>450</v>
      </c>
      <c r="K315" s="310">
        <v>68178</v>
      </c>
      <c r="L315" s="311">
        <f t="shared" si="84"/>
        <v>0.6895039455542844</v>
      </c>
      <c r="M315" s="211" t="s">
        <v>451</v>
      </c>
    </row>
    <row r="316" spans="1:13" ht="104" hidden="1" x14ac:dyDescent="0.3">
      <c r="A316" s="37">
        <v>5</v>
      </c>
      <c r="B316" s="7" t="s">
        <v>30</v>
      </c>
      <c r="C316" s="5" t="s">
        <v>452</v>
      </c>
      <c r="D316" s="5" t="s">
        <v>453</v>
      </c>
      <c r="E316" s="2" t="s">
        <v>66</v>
      </c>
      <c r="F316" s="95">
        <v>60000</v>
      </c>
      <c r="G316" s="95">
        <v>60000</v>
      </c>
      <c r="H316" s="95">
        <v>60000</v>
      </c>
      <c r="I316" s="95">
        <v>60000</v>
      </c>
      <c r="J316" s="5" t="s">
        <v>454</v>
      </c>
      <c r="K316" s="310">
        <v>81675</v>
      </c>
      <c r="L316" s="311">
        <f t="shared" si="84"/>
        <v>0.7346189164370982</v>
      </c>
      <c r="M316" s="211"/>
    </row>
    <row r="317" spans="1:13" ht="91" hidden="1" x14ac:dyDescent="0.3">
      <c r="A317" s="37">
        <v>6</v>
      </c>
      <c r="B317" s="7" t="s">
        <v>30</v>
      </c>
      <c r="C317" s="5" t="s">
        <v>455</v>
      </c>
      <c r="D317" s="5" t="s">
        <v>210</v>
      </c>
      <c r="E317" s="2" t="s">
        <v>65</v>
      </c>
      <c r="F317" s="95">
        <v>43000</v>
      </c>
      <c r="G317" s="95">
        <v>43000</v>
      </c>
      <c r="H317" s="95">
        <v>43000</v>
      </c>
      <c r="I317" s="95">
        <v>43000</v>
      </c>
      <c r="J317" s="5" t="s">
        <v>456</v>
      </c>
      <c r="K317" s="310">
        <v>400343</v>
      </c>
      <c r="L317" s="311">
        <f t="shared" si="84"/>
        <v>0.1074078977276985</v>
      </c>
      <c r="M317" s="211" t="s">
        <v>451</v>
      </c>
    </row>
    <row r="318" spans="1:13" ht="26" hidden="1" x14ac:dyDescent="0.3">
      <c r="A318" s="37">
        <v>7</v>
      </c>
      <c r="B318" s="7" t="s">
        <v>30</v>
      </c>
      <c r="C318" s="24" t="s">
        <v>457</v>
      </c>
      <c r="D318" s="5" t="s">
        <v>453</v>
      </c>
      <c r="E318" s="2" t="s">
        <v>66</v>
      </c>
      <c r="F318" s="95">
        <v>70000</v>
      </c>
      <c r="G318" s="95">
        <v>70000</v>
      </c>
      <c r="H318" s="95">
        <v>70000</v>
      </c>
      <c r="I318" s="95">
        <v>70000</v>
      </c>
      <c r="J318" s="5"/>
      <c r="K318" s="310">
        <v>398075</v>
      </c>
      <c r="L318" s="311">
        <f t="shared" si="84"/>
        <v>0.17584626012686053</v>
      </c>
      <c r="M318" s="211"/>
    </row>
    <row r="319" spans="1:13" ht="26" hidden="1" x14ac:dyDescent="0.3">
      <c r="A319" s="37">
        <v>8</v>
      </c>
      <c r="B319" s="7" t="s">
        <v>30</v>
      </c>
      <c r="C319" s="5" t="s">
        <v>458</v>
      </c>
      <c r="D319" s="5" t="s">
        <v>459</v>
      </c>
      <c r="E319" s="2" t="s">
        <v>67</v>
      </c>
      <c r="F319" s="95">
        <v>150000</v>
      </c>
      <c r="G319" s="95">
        <v>150000</v>
      </c>
      <c r="H319" s="95">
        <v>150000</v>
      </c>
      <c r="I319" s="95">
        <v>150000</v>
      </c>
      <c r="J319" s="5"/>
      <c r="K319" s="310">
        <v>150000</v>
      </c>
      <c r="L319" s="311">
        <f t="shared" si="84"/>
        <v>1</v>
      </c>
      <c r="M319" s="211"/>
    </row>
    <row r="320" spans="1:13" hidden="1" x14ac:dyDescent="0.3">
      <c r="A320" s="37">
        <v>9</v>
      </c>
      <c r="B320" s="7" t="s">
        <v>30</v>
      </c>
      <c r="C320" s="5" t="s">
        <v>460</v>
      </c>
      <c r="D320" s="5" t="s">
        <v>461</v>
      </c>
      <c r="E320" s="2" t="s">
        <v>65</v>
      </c>
      <c r="F320" s="95">
        <v>22000</v>
      </c>
      <c r="G320" s="95">
        <v>22000</v>
      </c>
      <c r="H320" s="95">
        <v>22000</v>
      </c>
      <c r="I320" s="95">
        <v>22000</v>
      </c>
      <c r="J320" s="5"/>
      <c r="K320" s="310">
        <v>339501</v>
      </c>
      <c r="L320" s="311">
        <f t="shared" si="84"/>
        <v>6.4800987331406976E-2</v>
      </c>
      <c r="M320" s="211" t="s">
        <v>451</v>
      </c>
    </row>
    <row r="321" spans="1:18" ht="39" hidden="1" x14ac:dyDescent="0.3">
      <c r="A321" s="37">
        <v>10</v>
      </c>
      <c r="B321" s="7" t="s">
        <v>30</v>
      </c>
      <c r="C321" s="5" t="s">
        <v>462</v>
      </c>
      <c r="D321" s="5" t="s">
        <v>463</v>
      </c>
      <c r="E321" s="2" t="s">
        <v>69</v>
      </c>
      <c r="F321" s="95">
        <v>3520000</v>
      </c>
      <c r="G321" s="95">
        <v>3520000</v>
      </c>
      <c r="H321" s="95">
        <v>3520000</v>
      </c>
      <c r="I321" s="95">
        <v>3520000</v>
      </c>
      <c r="J321" s="5"/>
      <c r="K321" s="310">
        <v>40714285</v>
      </c>
      <c r="L321" s="311">
        <f>F321/K321</f>
        <v>8.6456141867651617E-2</v>
      </c>
      <c r="M321" s="211" t="s">
        <v>464</v>
      </c>
    </row>
    <row r="322" spans="1:18" ht="14.5" hidden="1" customHeight="1" x14ac:dyDescent="0.3">
      <c r="A322" s="493">
        <v>11</v>
      </c>
      <c r="B322" s="493" t="s">
        <v>30</v>
      </c>
      <c r="C322" s="495" t="s">
        <v>465</v>
      </c>
      <c r="D322" s="495" t="s">
        <v>466</v>
      </c>
      <c r="E322" s="2" t="s">
        <v>65</v>
      </c>
      <c r="F322" s="95">
        <v>50000</v>
      </c>
      <c r="G322" s="95">
        <v>50000</v>
      </c>
      <c r="H322" s="95">
        <v>50000</v>
      </c>
      <c r="I322" s="95">
        <v>50000</v>
      </c>
      <c r="J322" s="5"/>
      <c r="K322" s="517">
        <v>2000000</v>
      </c>
      <c r="L322" s="519">
        <f>(F323+F322)/K322</f>
        <v>1</v>
      </c>
      <c r="M322" s="532" t="s">
        <v>1010</v>
      </c>
    </row>
    <row r="323" spans="1:18" ht="26" hidden="1" x14ac:dyDescent="0.3">
      <c r="A323" s="494"/>
      <c r="B323" s="494"/>
      <c r="C323" s="496"/>
      <c r="D323" s="496"/>
      <c r="E323" s="2" t="s">
        <v>67</v>
      </c>
      <c r="F323" s="95">
        <v>1950000</v>
      </c>
      <c r="G323" s="95">
        <v>1950000</v>
      </c>
      <c r="H323" s="95">
        <v>1950000</v>
      </c>
      <c r="I323" s="95">
        <v>1950000</v>
      </c>
      <c r="J323" s="5"/>
      <c r="K323" s="517"/>
      <c r="L323" s="519"/>
      <c r="M323" s="533"/>
      <c r="R323" s="212"/>
    </row>
    <row r="324" spans="1:18" ht="39" hidden="1" x14ac:dyDescent="0.3">
      <c r="A324" s="7">
        <v>12</v>
      </c>
      <c r="B324" s="7" t="s">
        <v>30</v>
      </c>
      <c r="C324" s="5" t="s">
        <v>992</v>
      </c>
      <c r="D324" s="5" t="s">
        <v>993</v>
      </c>
      <c r="E324" s="2" t="s">
        <v>68</v>
      </c>
      <c r="F324" s="95">
        <v>5375808</v>
      </c>
      <c r="G324" s="95"/>
      <c r="H324" s="95"/>
      <c r="I324" s="95"/>
      <c r="J324" s="3"/>
      <c r="K324" s="310">
        <v>29086574</v>
      </c>
      <c r="L324" s="311">
        <f>F324/K324</f>
        <v>0.18482094178571873</v>
      </c>
      <c r="M324" s="318" t="s">
        <v>994</v>
      </c>
      <c r="R324" s="212"/>
    </row>
    <row r="325" spans="1:18" x14ac:dyDescent="0.3">
      <c r="A325" s="457" t="s">
        <v>467</v>
      </c>
      <c r="B325" s="458"/>
      <c r="C325" s="458"/>
      <c r="D325" s="458"/>
      <c r="E325" s="459"/>
      <c r="F325" s="39">
        <f>F329+F330</f>
        <v>2492977</v>
      </c>
      <c r="G325" s="39">
        <f t="shared" ref="G325:I325" si="85">G329+G330</f>
        <v>2492977</v>
      </c>
      <c r="H325" s="39">
        <f t="shared" si="85"/>
        <v>2492977</v>
      </c>
      <c r="I325" s="39">
        <f t="shared" si="85"/>
        <v>2492977</v>
      </c>
      <c r="J325" s="141"/>
      <c r="K325" s="341"/>
      <c r="L325" s="342"/>
      <c r="M325" s="351"/>
    </row>
    <row r="326" spans="1:18" x14ac:dyDescent="0.3">
      <c r="A326" s="460" t="s">
        <v>468</v>
      </c>
      <c r="B326" s="461"/>
      <c r="C326" s="461"/>
      <c r="D326" s="461"/>
      <c r="E326" s="462"/>
      <c r="F326" s="99">
        <v>2492977</v>
      </c>
      <c r="G326" s="86"/>
      <c r="H326" s="86"/>
      <c r="I326" s="86"/>
      <c r="J326" s="143"/>
      <c r="K326" s="343"/>
      <c r="L326" s="344"/>
      <c r="M326" s="352"/>
    </row>
    <row r="327" spans="1:18" x14ac:dyDescent="0.3">
      <c r="A327" s="463" t="s">
        <v>469</v>
      </c>
      <c r="B327" s="464"/>
      <c r="C327" s="464"/>
      <c r="D327" s="464"/>
      <c r="E327" s="465"/>
      <c r="F327" s="44">
        <f>F326-F325</f>
        <v>0</v>
      </c>
      <c r="G327" s="87"/>
      <c r="H327" s="87"/>
      <c r="I327" s="87"/>
      <c r="J327" s="143"/>
      <c r="K327" s="343"/>
      <c r="L327" s="344"/>
      <c r="M327" s="352"/>
    </row>
    <row r="328" spans="1:18" x14ac:dyDescent="0.3">
      <c r="A328" s="475" t="s">
        <v>66</v>
      </c>
      <c r="B328" s="476"/>
      <c r="C328" s="476"/>
      <c r="D328" s="476"/>
      <c r="E328" s="477"/>
      <c r="F328" s="376">
        <f>F329+F330</f>
        <v>2492977</v>
      </c>
      <c r="G328" s="376">
        <f t="shared" ref="G328:I328" si="86">G329+G330</f>
        <v>2492977</v>
      </c>
      <c r="H328" s="376">
        <f t="shared" si="86"/>
        <v>2492977</v>
      </c>
      <c r="I328" s="376">
        <f t="shared" si="86"/>
        <v>2492977</v>
      </c>
      <c r="J328" s="327"/>
      <c r="K328" s="372"/>
      <c r="L328" s="373"/>
      <c r="M328" s="378"/>
    </row>
    <row r="329" spans="1:18" ht="89.25" hidden="1" customHeight="1" x14ac:dyDescent="0.3">
      <c r="A329" s="276">
        <v>1</v>
      </c>
      <c r="B329" s="316" t="s">
        <v>470</v>
      </c>
      <c r="C329" s="379" t="s">
        <v>471</v>
      </c>
      <c r="D329" s="3" t="s">
        <v>472</v>
      </c>
      <c r="E329" s="48" t="s">
        <v>66</v>
      </c>
      <c r="F329" s="84">
        <v>1246489</v>
      </c>
      <c r="G329" s="84">
        <v>1246489</v>
      </c>
      <c r="H329" s="84">
        <v>1246489</v>
      </c>
      <c r="I329" s="84">
        <v>1246489</v>
      </c>
      <c r="J329" s="10"/>
      <c r="K329" s="308">
        <v>3813836</v>
      </c>
      <c r="L329" s="309">
        <f t="shared" ref="L329:L362" si="87">F329/K329</f>
        <v>0.32683340342898853</v>
      </c>
      <c r="M329" s="209"/>
    </row>
    <row r="330" spans="1:18" ht="43.5" hidden="1" customHeight="1" x14ac:dyDescent="0.3">
      <c r="A330" s="7">
        <v>2</v>
      </c>
      <c r="B330" s="21" t="s">
        <v>470</v>
      </c>
      <c r="C330" s="2" t="s">
        <v>473</v>
      </c>
      <c r="D330" s="5" t="s">
        <v>210</v>
      </c>
      <c r="E330" s="49" t="s">
        <v>66</v>
      </c>
      <c r="F330" s="84">
        <v>1246488</v>
      </c>
      <c r="G330" s="84">
        <v>1246488</v>
      </c>
      <c r="H330" s="84">
        <v>1246488</v>
      </c>
      <c r="I330" s="84">
        <v>1246488</v>
      </c>
      <c r="J330" s="10"/>
      <c r="K330" s="353">
        <v>4438607</v>
      </c>
      <c r="L330" s="309">
        <f>F330/K330</f>
        <v>0.28082864736616692</v>
      </c>
      <c r="M330" s="209"/>
    </row>
    <row r="331" spans="1:18" x14ac:dyDescent="0.3">
      <c r="A331" s="457" t="s">
        <v>474</v>
      </c>
      <c r="B331" s="458"/>
      <c r="C331" s="458"/>
      <c r="D331" s="458"/>
      <c r="E331" s="459"/>
      <c r="F331" s="39">
        <f>SUM(F340:F382)</f>
        <v>3535291</v>
      </c>
      <c r="G331" s="39">
        <f>SUM(G340:G382)</f>
        <v>3535291</v>
      </c>
      <c r="H331" s="39">
        <f t="shared" ref="H331:I331" si="88">SUM(H340:H382)</f>
        <v>3535291</v>
      </c>
      <c r="I331" s="39">
        <f t="shared" si="88"/>
        <v>3535291</v>
      </c>
      <c r="J331" s="141"/>
      <c r="K331" s="226"/>
      <c r="L331" s="220"/>
      <c r="M331" s="142"/>
    </row>
    <row r="332" spans="1:18" x14ac:dyDescent="0.3">
      <c r="A332" s="460" t="s">
        <v>475</v>
      </c>
      <c r="B332" s="461"/>
      <c r="C332" s="461"/>
      <c r="D332" s="461"/>
      <c r="E332" s="462"/>
      <c r="F332" s="99">
        <v>3535291</v>
      </c>
      <c r="G332" s="86"/>
      <c r="H332" s="86"/>
      <c r="I332" s="86"/>
      <c r="J332" s="143"/>
      <c r="K332" s="227"/>
      <c r="L332" s="221"/>
      <c r="M332" s="144"/>
    </row>
    <row r="333" spans="1:18" x14ac:dyDescent="0.3">
      <c r="A333" s="463" t="s">
        <v>476</v>
      </c>
      <c r="B333" s="464"/>
      <c r="C333" s="464"/>
      <c r="D333" s="464"/>
      <c r="E333" s="465"/>
      <c r="F333" s="44">
        <f>F332-F331</f>
        <v>0</v>
      </c>
      <c r="G333" s="87"/>
      <c r="H333" s="87"/>
      <c r="I333" s="87"/>
      <c r="J333" s="380"/>
      <c r="K333" s="227"/>
      <c r="L333" s="221"/>
      <c r="M333" s="144"/>
    </row>
    <row r="334" spans="1:18" x14ac:dyDescent="0.3">
      <c r="A334" s="475" t="s">
        <v>66</v>
      </c>
      <c r="B334" s="476"/>
      <c r="C334" s="476"/>
      <c r="D334" s="476"/>
      <c r="E334" s="477"/>
      <c r="F334" s="376">
        <f>F343+F346+F348+F351+F356+F357+F361+F362+F363+F365+F368+F381</f>
        <v>815043</v>
      </c>
      <c r="G334" s="376">
        <f t="shared" ref="G334:I334" si="89">G343+G346+G348+G351+G356+G357+G361+G362+G363+G365+G368+G381</f>
        <v>815043</v>
      </c>
      <c r="H334" s="376">
        <f t="shared" si="89"/>
        <v>833241</v>
      </c>
      <c r="I334" s="376">
        <f t="shared" si="89"/>
        <v>833241</v>
      </c>
      <c r="J334" s="382"/>
      <c r="K334" s="368"/>
      <c r="L334" s="369"/>
      <c r="M334" s="383"/>
    </row>
    <row r="335" spans="1:18" x14ac:dyDescent="0.3">
      <c r="A335" s="475" t="s">
        <v>67</v>
      </c>
      <c r="B335" s="476"/>
      <c r="C335" s="476"/>
      <c r="D335" s="476"/>
      <c r="E335" s="477"/>
      <c r="F335" s="376">
        <f>F340+F352+F360+F369</f>
        <v>569963</v>
      </c>
      <c r="G335" s="376">
        <f t="shared" ref="G335:I335" si="90">G340+G352+G360+G369</f>
        <v>569963</v>
      </c>
      <c r="H335" s="376">
        <f t="shared" si="90"/>
        <v>569963</v>
      </c>
      <c r="I335" s="376">
        <f t="shared" si="90"/>
        <v>569963</v>
      </c>
      <c r="J335" s="382"/>
      <c r="K335" s="368"/>
      <c r="L335" s="369"/>
      <c r="M335" s="383"/>
    </row>
    <row r="336" spans="1:18" x14ac:dyDescent="0.3">
      <c r="A336" s="475" t="s">
        <v>68</v>
      </c>
      <c r="B336" s="476"/>
      <c r="C336" s="476"/>
      <c r="D336" s="476"/>
      <c r="E336" s="477"/>
      <c r="F336" s="376">
        <f>F344+F345+F347+F350+F375+F376+F377+F378+F379+F380</f>
        <v>1242854</v>
      </c>
      <c r="G336" s="376">
        <f t="shared" ref="G336:I336" si="91">G344+G345+G347+G350+G375+G376+G377+G378+G379+G380</f>
        <v>1242854</v>
      </c>
      <c r="H336" s="376">
        <f t="shared" si="91"/>
        <v>1242854</v>
      </c>
      <c r="I336" s="376">
        <f t="shared" si="91"/>
        <v>1242854</v>
      </c>
      <c r="J336" s="382"/>
      <c r="K336" s="368"/>
      <c r="L336" s="369"/>
      <c r="M336" s="383"/>
    </row>
    <row r="337" spans="1:13" x14ac:dyDescent="0.3">
      <c r="A337" s="475" t="s">
        <v>69</v>
      </c>
      <c r="B337" s="476"/>
      <c r="C337" s="476"/>
      <c r="D337" s="476"/>
      <c r="E337" s="477"/>
      <c r="F337" s="376">
        <f>F349</f>
        <v>200000</v>
      </c>
      <c r="G337" s="376">
        <f t="shared" ref="G337:I337" si="92">G349</f>
        <v>200000</v>
      </c>
      <c r="H337" s="376">
        <f t="shared" si="92"/>
        <v>200000</v>
      </c>
      <c r="I337" s="376">
        <f t="shared" si="92"/>
        <v>200000</v>
      </c>
      <c r="J337" s="382"/>
      <c r="K337" s="368"/>
      <c r="L337" s="369"/>
      <c r="M337" s="383"/>
    </row>
    <row r="338" spans="1:13" x14ac:dyDescent="0.3">
      <c r="A338" s="475" t="s">
        <v>70</v>
      </c>
      <c r="B338" s="476"/>
      <c r="C338" s="476"/>
      <c r="D338" s="476"/>
      <c r="E338" s="477"/>
      <c r="F338" s="376">
        <f>F341+F342+F353+F354+F355+F358+F359+F366+F367+F370+F372+F374+F382</f>
        <v>641272</v>
      </c>
      <c r="G338" s="376">
        <f t="shared" ref="G338:I338" si="93">G341+G342+G353+G354+G355+G358+G359+G366+G367+G370+G372+G374+G382</f>
        <v>641272</v>
      </c>
      <c r="H338" s="376">
        <f t="shared" si="93"/>
        <v>623074</v>
      </c>
      <c r="I338" s="376">
        <f t="shared" si="93"/>
        <v>623074</v>
      </c>
      <c r="J338" s="382"/>
      <c r="K338" s="368"/>
      <c r="L338" s="369"/>
      <c r="M338" s="383"/>
    </row>
    <row r="339" spans="1:13" x14ac:dyDescent="0.3">
      <c r="A339" s="475" t="s">
        <v>71</v>
      </c>
      <c r="B339" s="476"/>
      <c r="C339" s="476"/>
      <c r="D339" s="476"/>
      <c r="E339" s="477"/>
      <c r="F339" s="376">
        <f>F364+F371+F373</f>
        <v>66159</v>
      </c>
      <c r="G339" s="376">
        <f t="shared" ref="G339:I339" si="94">G364+G371+G373</f>
        <v>66159</v>
      </c>
      <c r="H339" s="376">
        <f t="shared" si="94"/>
        <v>66159</v>
      </c>
      <c r="I339" s="376">
        <f t="shared" si="94"/>
        <v>66159</v>
      </c>
      <c r="J339" s="382"/>
      <c r="K339" s="368"/>
      <c r="L339" s="369"/>
      <c r="M339" s="383"/>
    </row>
    <row r="340" spans="1:13" ht="26" hidden="1" x14ac:dyDescent="0.3">
      <c r="A340" s="524">
        <v>1</v>
      </c>
      <c r="B340" s="514" t="s">
        <v>32</v>
      </c>
      <c r="C340" s="495" t="s">
        <v>477</v>
      </c>
      <c r="D340" s="495" t="s">
        <v>478</v>
      </c>
      <c r="E340" s="2" t="s">
        <v>67</v>
      </c>
      <c r="F340" s="95">
        <v>514918</v>
      </c>
      <c r="G340" s="95">
        <v>514918</v>
      </c>
      <c r="H340" s="95">
        <v>514918</v>
      </c>
      <c r="I340" s="95">
        <v>514918</v>
      </c>
      <c r="J340" s="213"/>
      <c r="K340" s="381">
        <v>3400645</v>
      </c>
      <c r="L340" s="309">
        <f>F340/K340</f>
        <v>0.15141774575117367</v>
      </c>
      <c r="M340" s="534" t="s">
        <v>479</v>
      </c>
    </row>
    <row r="341" spans="1:13" ht="52" hidden="1" x14ac:dyDescent="0.3">
      <c r="A341" s="524"/>
      <c r="B341" s="514"/>
      <c r="C341" s="509"/>
      <c r="D341" s="509"/>
      <c r="E341" s="47" t="s">
        <v>428</v>
      </c>
      <c r="F341" s="95">
        <v>59053</v>
      </c>
      <c r="G341" s="95">
        <v>59053</v>
      </c>
      <c r="H341" s="95">
        <v>59053</v>
      </c>
      <c r="I341" s="95">
        <v>59053</v>
      </c>
      <c r="J341" s="213"/>
      <c r="K341" s="354">
        <v>390000</v>
      </c>
      <c r="L341" s="309">
        <f>F341/K341</f>
        <v>0.15141794871794872</v>
      </c>
      <c r="M341" s="535"/>
    </row>
    <row r="342" spans="1:13" ht="104" hidden="1" x14ac:dyDescent="0.3">
      <c r="A342" s="524"/>
      <c r="B342" s="514"/>
      <c r="C342" s="496"/>
      <c r="D342" s="496"/>
      <c r="E342" s="2" t="s">
        <v>170</v>
      </c>
      <c r="F342" s="95">
        <v>52996</v>
      </c>
      <c r="G342" s="95">
        <v>52996</v>
      </c>
      <c r="H342" s="95">
        <v>52996</v>
      </c>
      <c r="I342" s="95">
        <v>52996</v>
      </c>
      <c r="J342" s="213"/>
      <c r="K342" s="354">
        <v>350000</v>
      </c>
      <c r="L342" s="309">
        <f>F342/K342</f>
        <v>0.15141714285714286</v>
      </c>
      <c r="M342" s="536"/>
    </row>
    <row r="343" spans="1:13" ht="26" hidden="1" x14ac:dyDescent="0.3">
      <c r="A343" s="524">
        <v>2</v>
      </c>
      <c r="B343" s="514" t="s">
        <v>32</v>
      </c>
      <c r="C343" s="495" t="s">
        <v>480</v>
      </c>
      <c r="D343" s="495" t="s">
        <v>481</v>
      </c>
      <c r="E343" s="48" t="s">
        <v>66</v>
      </c>
      <c r="F343" s="95">
        <v>160798</v>
      </c>
      <c r="G343" s="95">
        <v>160798</v>
      </c>
      <c r="H343" s="95">
        <v>160798</v>
      </c>
      <c r="I343" s="95">
        <v>160798</v>
      </c>
      <c r="J343" s="10"/>
      <c r="K343" s="332">
        <v>1061949</v>
      </c>
      <c r="L343" s="309">
        <f t="shared" si="87"/>
        <v>0.15141781761647688</v>
      </c>
      <c r="M343" s="534" t="s">
        <v>482</v>
      </c>
    </row>
    <row r="344" spans="1:13" ht="26" hidden="1" x14ac:dyDescent="0.3">
      <c r="A344" s="524"/>
      <c r="B344" s="514"/>
      <c r="C344" s="496"/>
      <c r="D344" s="496"/>
      <c r="E344" s="49" t="s">
        <v>68</v>
      </c>
      <c r="F344" s="95">
        <v>6814</v>
      </c>
      <c r="G344" s="95">
        <v>6814</v>
      </c>
      <c r="H344" s="95">
        <v>6814</v>
      </c>
      <c r="I344" s="95">
        <v>6814</v>
      </c>
      <c r="J344" s="10"/>
      <c r="K344" s="308">
        <v>45000</v>
      </c>
      <c r="L344" s="309">
        <f t="shared" si="87"/>
        <v>0.15142222222222224</v>
      </c>
      <c r="M344" s="536"/>
    </row>
    <row r="345" spans="1:13" ht="52" hidden="1" x14ac:dyDescent="0.3">
      <c r="A345" s="7">
        <v>3</v>
      </c>
      <c r="B345" s="21" t="s">
        <v>32</v>
      </c>
      <c r="C345" s="5" t="s">
        <v>483</v>
      </c>
      <c r="D345" s="5" t="s">
        <v>484</v>
      </c>
      <c r="E345" s="49" t="s">
        <v>68</v>
      </c>
      <c r="F345" s="95">
        <v>64294</v>
      </c>
      <c r="G345" s="95">
        <v>64294</v>
      </c>
      <c r="H345" s="95">
        <v>64294</v>
      </c>
      <c r="I345" s="95">
        <v>64294</v>
      </c>
      <c r="J345" s="10"/>
      <c r="K345" s="308">
        <v>152639</v>
      </c>
      <c r="L345" s="309">
        <f t="shared" si="87"/>
        <v>0.42121607190822791</v>
      </c>
      <c r="M345" s="318" t="s">
        <v>485</v>
      </c>
    </row>
    <row r="346" spans="1:13" ht="30.75" hidden="1" customHeight="1" x14ac:dyDescent="0.3">
      <c r="A346" s="524">
        <v>4</v>
      </c>
      <c r="B346" s="514" t="s">
        <v>32</v>
      </c>
      <c r="C346" s="497"/>
      <c r="D346" s="495" t="s">
        <v>486</v>
      </c>
      <c r="E346" s="49" t="s">
        <v>66</v>
      </c>
      <c r="F346" s="95">
        <v>27019</v>
      </c>
      <c r="G346" s="95">
        <v>27019</v>
      </c>
      <c r="H346" s="95">
        <v>27019</v>
      </c>
      <c r="I346" s="95">
        <v>27019</v>
      </c>
      <c r="J346" s="10"/>
      <c r="K346" s="356">
        <v>27437</v>
      </c>
      <c r="L346" s="331">
        <f t="shared" si="87"/>
        <v>0.98476509822502456</v>
      </c>
      <c r="M346" s="534" t="s">
        <v>487</v>
      </c>
    </row>
    <row r="347" spans="1:13" ht="33" hidden="1" customHeight="1" x14ac:dyDescent="0.3">
      <c r="A347" s="524"/>
      <c r="B347" s="514"/>
      <c r="C347" s="498"/>
      <c r="D347" s="496"/>
      <c r="E347" s="49" t="s">
        <v>68</v>
      </c>
      <c r="F347" s="95">
        <f>4593-1</f>
        <v>4592</v>
      </c>
      <c r="G347" s="95">
        <f t="shared" ref="G347:I347" si="95">4593-1</f>
        <v>4592</v>
      </c>
      <c r="H347" s="95">
        <f t="shared" si="95"/>
        <v>4592</v>
      </c>
      <c r="I347" s="95">
        <f t="shared" si="95"/>
        <v>4592</v>
      </c>
      <c r="J347" s="10"/>
      <c r="K347" s="357">
        <v>5332</v>
      </c>
      <c r="L347" s="331">
        <f t="shared" si="87"/>
        <v>0.86121530382595646</v>
      </c>
      <c r="M347" s="536"/>
    </row>
    <row r="348" spans="1:13" ht="52" hidden="1" x14ac:dyDescent="0.3">
      <c r="A348" s="524">
        <v>5</v>
      </c>
      <c r="B348" s="514" t="s">
        <v>32</v>
      </c>
      <c r="C348" s="497"/>
      <c r="D348" s="495" t="s">
        <v>488</v>
      </c>
      <c r="E348" s="49" t="s">
        <v>66</v>
      </c>
      <c r="F348" s="95">
        <v>247325</v>
      </c>
      <c r="G348" s="95">
        <v>247325</v>
      </c>
      <c r="H348" s="95">
        <v>247325</v>
      </c>
      <c r="I348" s="95">
        <v>247325</v>
      </c>
      <c r="J348" s="10"/>
      <c r="K348" s="308">
        <v>2263690</v>
      </c>
      <c r="L348" s="309">
        <f t="shared" si="87"/>
        <v>0.10925745132946649</v>
      </c>
      <c r="M348" s="318" t="s">
        <v>489</v>
      </c>
    </row>
    <row r="349" spans="1:13" ht="78" hidden="1" x14ac:dyDescent="0.3">
      <c r="A349" s="524"/>
      <c r="B349" s="514"/>
      <c r="C349" s="520"/>
      <c r="D349" s="509"/>
      <c r="E349" s="49" t="s">
        <v>69</v>
      </c>
      <c r="F349" s="95">
        <v>200000</v>
      </c>
      <c r="G349" s="95">
        <v>200000</v>
      </c>
      <c r="H349" s="95">
        <v>200000</v>
      </c>
      <c r="I349" s="95">
        <v>200000</v>
      </c>
      <c r="J349" s="10"/>
      <c r="K349" s="308">
        <v>819604</v>
      </c>
      <c r="L349" s="309">
        <f t="shared" si="87"/>
        <v>0.24402028296592013</v>
      </c>
      <c r="M349" s="317" t="s">
        <v>490</v>
      </c>
    </row>
    <row r="350" spans="1:13" ht="26" hidden="1" x14ac:dyDescent="0.3">
      <c r="A350" s="524"/>
      <c r="B350" s="514"/>
      <c r="C350" s="498"/>
      <c r="D350" s="496"/>
      <c r="E350" s="49" t="s">
        <v>68</v>
      </c>
      <c r="F350" s="95">
        <v>102337</v>
      </c>
      <c r="G350" s="95">
        <v>102337</v>
      </c>
      <c r="H350" s="95">
        <v>102337</v>
      </c>
      <c r="I350" s="95">
        <v>102337</v>
      </c>
      <c r="J350" s="10"/>
      <c r="K350" s="308">
        <v>181337</v>
      </c>
      <c r="L350" s="309">
        <f t="shared" si="87"/>
        <v>0.56434704445314521</v>
      </c>
      <c r="M350" s="5" t="s">
        <v>491</v>
      </c>
    </row>
    <row r="351" spans="1:13" ht="26" hidden="1" x14ac:dyDescent="0.3">
      <c r="A351" s="524">
        <v>6</v>
      </c>
      <c r="B351" s="514" t="s">
        <v>32</v>
      </c>
      <c r="C351" s="495" t="s">
        <v>492</v>
      </c>
      <c r="D351" s="495" t="s">
        <v>493</v>
      </c>
      <c r="E351" s="49" t="s">
        <v>66</v>
      </c>
      <c r="F351" s="95">
        <v>7919</v>
      </c>
      <c r="G351" s="95">
        <v>7919</v>
      </c>
      <c r="H351" s="95">
        <v>7919</v>
      </c>
      <c r="I351" s="95">
        <v>7919</v>
      </c>
      <c r="J351" s="10"/>
      <c r="K351" s="484">
        <v>259300</v>
      </c>
      <c r="L351" s="489">
        <f>(F351+F352+F353)/K351</f>
        <v>0.15141920555341304</v>
      </c>
      <c r="M351" s="5" t="s">
        <v>494</v>
      </c>
    </row>
    <row r="352" spans="1:13" ht="26" hidden="1" x14ac:dyDescent="0.3">
      <c r="A352" s="524"/>
      <c r="B352" s="514"/>
      <c r="C352" s="509"/>
      <c r="D352" s="509"/>
      <c r="E352" s="2" t="s">
        <v>67</v>
      </c>
      <c r="F352" s="95">
        <v>25604</v>
      </c>
      <c r="G352" s="95">
        <v>25604</v>
      </c>
      <c r="H352" s="95">
        <v>25604</v>
      </c>
      <c r="I352" s="95">
        <v>25604</v>
      </c>
      <c r="J352" s="10"/>
      <c r="K352" s="491"/>
      <c r="L352" s="492"/>
      <c r="M352" s="5" t="s">
        <v>495</v>
      </c>
    </row>
    <row r="353" spans="1:13" ht="78" hidden="1" customHeight="1" x14ac:dyDescent="0.3">
      <c r="A353" s="524"/>
      <c r="B353" s="514"/>
      <c r="C353" s="496"/>
      <c r="D353" s="509"/>
      <c r="E353" s="2" t="s">
        <v>496</v>
      </c>
      <c r="F353" s="95">
        <v>5740</v>
      </c>
      <c r="G353" s="95">
        <v>5740</v>
      </c>
      <c r="H353" s="95">
        <v>5740</v>
      </c>
      <c r="I353" s="95">
        <v>5740</v>
      </c>
      <c r="J353" s="10"/>
      <c r="K353" s="485"/>
      <c r="L353" s="490"/>
      <c r="M353" s="5" t="s">
        <v>497</v>
      </c>
    </row>
    <row r="354" spans="1:13" ht="65.150000000000006" hidden="1" customHeight="1" x14ac:dyDescent="0.3">
      <c r="A354" s="524">
        <v>7</v>
      </c>
      <c r="B354" s="514" t="s">
        <v>32</v>
      </c>
      <c r="C354" s="495" t="s">
        <v>498</v>
      </c>
      <c r="D354" s="509"/>
      <c r="E354" s="2" t="s">
        <v>499</v>
      </c>
      <c r="F354" s="95">
        <v>341</v>
      </c>
      <c r="G354" s="95">
        <v>341</v>
      </c>
      <c r="H354" s="95">
        <v>341</v>
      </c>
      <c r="I354" s="95">
        <v>341</v>
      </c>
      <c r="J354" s="10"/>
      <c r="K354" s="484">
        <v>12196</v>
      </c>
      <c r="L354" s="489">
        <f>(F354+F355)/K354</f>
        <v>0.15144309609708101</v>
      </c>
      <c r="M354" s="5" t="s">
        <v>500</v>
      </c>
    </row>
    <row r="355" spans="1:13" ht="52" hidden="1" customHeight="1" x14ac:dyDescent="0.3">
      <c r="A355" s="524"/>
      <c r="B355" s="514"/>
      <c r="C355" s="496"/>
      <c r="D355" s="509"/>
      <c r="E355" s="47" t="s">
        <v>428</v>
      </c>
      <c r="F355" s="95">
        <v>1506</v>
      </c>
      <c r="G355" s="95">
        <v>1506</v>
      </c>
      <c r="H355" s="95">
        <v>1506</v>
      </c>
      <c r="I355" s="95">
        <v>1506</v>
      </c>
      <c r="J355" s="10"/>
      <c r="K355" s="485"/>
      <c r="L355" s="490"/>
      <c r="M355" s="5" t="s">
        <v>501</v>
      </c>
    </row>
    <row r="356" spans="1:13" ht="78" hidden="1" x14ac:dyDescent="0.3">
      <c r="A356" s="7">
        <v>8</v>
      </c>
      <c r="B356" s="21" t="s">
        <v>32</v>
      </c>
      <c r="C356" s="5" t="s">
        <v>502</v>
      </c>
      <c r="D356" s="509"/>
      <c r="E356" s="49" t="s">
        <v>66</v>
      </c>
      <c r="F356" s="95">
        <v>59078</v>
      </c>
      <c r="G356" s="95">
        <v>59078</v>
      </c>
      <c r="H356" s="95">
        <v>59078</v>
      </c>
      <c r="I356" s="95">
        <v>59078</v>
      </c>
      <c r="J356" s="10"/>
      <c r="K356" s="308">
        <v>390163</v>
      </c>
      <c r="L356" s="309">
        <f t="shared" si="87"/>
        <v>0.15141876600292697</v>
      </c>
      <c r="M356" s="3" t="s">
        <v>503</v>
      </c>
    </row>
    <row r="357" spans="1:13" ht="52" hidden="1" x14ac:dyDescent="0.3">
      <c r="A357" s="7">
        <v>9</v>
      </c>
      <c r="B357" s="21" t="s">
        <v>32</v>
      </c>
      <c r="C357" s="495" t="s">
        <v>504</v>
      </c>
      <c r="D357" s="509"/>
      <c r="E357" s="49" t="s">
        <v>66</v>
      </c>
      <c r="F357" s="95">
        <v>1350</v>
      </c>
      <c r="G357" s="95">
        <v>1350</v>
      </c>
      <c r="H357" s="95">
        <v>1350</v>
      </c>
      <c r="I357" s="95">
        <v>1350</v>
      </c>
      <c r="J357" s="10"/>
      <c r="K357" s="484">
        <v>856999</v>
      </c>
      <c r="L357" s="489">
        <f>(F357+F358)/K357</f>
        <v>0.15141674611055556</v>
      </c>
      <c r="M357" s="534" t="s">
        <v>505</v>
      </c>
    </row>
    <row r="358" spans="1:13" ht="52" hidden="1" customHeight="1" x14ac:dyDescent="0.3">
      <c r="A358" s="7">
        <v>10</v>
      </c>
      <c r="B358" s="21" t="s">
        <v>32</v>
      </c>
      <c r="C358" s="496"/>
      <c r="D358" s="509"/>
      <c r="E358" s="47" t="s">
        <v>428</v>
      </c>
      <c r="F358" s="95">
        <v>128414</v>
      </c>
      <c r="G358" s="95">
        <v>128414</v>
      </c>
      <c r="H358" s="95">
        <v>128414</v>
      </c>
      <c r="I358" s="95">
        <v>128414</v>
      </c>
      <c r="J358" s="10"/>
      <c r="K358" s="485"/>
      <c r="L358" s="490"/>
      <c r="M358" s="536"/>
    </row>
    <row r="359" spans="1:13" ht="104" hidden="1" x14ac:dyDescent="0.3">
      <c r="A359" s="7">
        <v>11</v>
      </c>
      <c r="B359" s="21" t="s">
        <v>32</v>
      </c>
      <c r="C359" s="5" t="s">
        <v>506</v>
      </c>
      <c r="D359" s="509"/>
      <c r="E359" s="2" t="s">
        <v>170</v>
      </c>
      <c r="F359" s="95">
        <v>3331</v>
      </c>
      <c r="G359" s="95">
        <v>3331</v>
      </c>
      <c r="H359" s="95">
        <v>3331</v>
      </c>
      <c r="I359" s="95">
        <v>3331</v>
      </c>
      <c r="J359" s="10"/>
      <c r="K359" s="308">
        <v>22000</v>
      </c>
      <c r="L359" s="309">
        <f t="shared" si="87"/>
        <v>0.15140909090909091</v>
      </c>
      <c r="M359" s="318" t="s">
        <v>507</v>
      </c>
    </row>
    <row r="360" spans="1:13" ht="52" hidden="1" x14ac:dyDescent="0.3">
      <c r="A360" s="7">
        <v>12</v>
      </c>
      <c r="B360" s="21" t="s">
        <v>32</v>
      </c>
      <c r="C360" s="5" t="s">
        <v>508</v>
      </c>
      <c r="D360" s="509"/>
      <c r="E360" s="2" t="s">
        <v>67</v>
      </c>
      <c r="F360" s="95">
        <v>11689</v>
      </c>
      <c r="G360" s="95">
        <v>11689</v>
      </c>
      <c r="H360" s="95">
        <v>11689</v>
      </c>
      <c r="I360" s="95">
        <v>11689</v>
      </c>
      <c r="J360" s="10"/>
      <c r="K360" s="308">
        <v>77200</v>
      </c>
      <c r="L360" s="309">
        <f t="shared" si="87"/>
        <v>0.15141191709844559</v>
      </c>
      <c r="M360" s="209"/>
    </row>
    <row r="361" spans="1:13" ht="52" hidden="1" x14ac:dyDescent="0.3">
      <c r="A361" s="7">
        <v>13</v>
      </c>
      <c r="B361" s="21" t="s">
        <v>32</v>
      </c>
      <c r="C361" s="5" t="s">
        <v>509</v>
      </c>
      <c r="D361" s="509"/>
      <c r="E361" s="49" t="s">
        <v>66</v>
      </c>
      <c r="F361" s="95">
        <v>26263</v>
      </c>
      <c r="G361" s="95">
        <v>26263</v>
      </c>
      <c r="H361" s="95">
        <v>26263</v>
      </c>
      <c r="I361" s="95">
        <v>26263</v>
      </c>
      <c r="J361" s="10"/>
      <c r="K361" s="308">
        <v>173448</v>
      </c>
      <c r="L361" s="309">
        <f t="shared" si="87"/>
        <v>0.15141713943083807</v>
      </c>
      <c r="M361" s="209"/>
    </row>
    <row r="362" spans="1:13" ht="52" hidden="1" x14ac:dyDescent="0.3">
      <c r="A362" s="7">
        <v>14</v>
      </c>
      <c r="B362" s="21" t="s">
        <v>32</v>
      </c>
      <c r="C362" s="5" t="s">
        <v>510</v>
      </c>
      <c r="D362" s="509"/>
      <c r="E362" s="49" t="s">
        <v>66</v>
      </c>
      <c r="F362" s="95">
        <v>1355</v>
      </c>
      <c r="G362" s="95">
        <v>1355</v>
      </c>
      <c r="H362" s="95">
        <v>1355</v>
      </c>
      <c r="I362" s="95">
        <v>1355</v>
      </c>
      <c r="J362" s="10"/>
      <c r="K362" s="308">
        <v>39478</v>
      </c>
      <c r="L362" s="309">
        <f t="shared" si="87"/>
        <v>3.4322914028066268E-2</v>
      </c>
      <c r="M362" s="355"/>
    </row>
    <row r="363" spans="1:13" ht="26.15" hidden="1" customHeight="1" x14ac:dyDescent="0.3">
      <c r="A363" s="524">
        <v>15</v>
      </c>
      <c r="B363" s="514" t="s">
        <v>32</v>
      </c>
      <c r="C363" s="495" t="s">
        <v>511</v>
      </c>
      <c r="D363" s="509"/>
      <c r="E363" s="49" t="s">
        <v>66</v>
      </c>
      <c r="F363" s="95">
        <v>5116</v>
      </c>
      <c r="G363" s="95">
        <v>5116</v>
      </c>
      <c r="H363" s="95">
        <v>5116</v>
      </c>
      <c r="I363" s="95">
        <v>5116</v>
      </c>
      <c r="J363" s="10"/>
      <c r="K363" s="484">
        <v>579700</v>
      </c>
      <c r="L363" s="489">
        <f>(F363+F364)/K363</f>
        <v>0.1156770743488011</v>
      </c>
      <c r="M363" s="209"/>
    </row>
    <row r="364" spans="1:13" ht="52" hidden="1" customHeight="1" x14ac:dyDescent="0.3">
      <c r="A364" s="524"/>
      <c r="B364" s="514"/>
      <c r="C364" s="496"/>
      <c r="D364" s="509"/>
      <c r="E364" s="2" t="s">
        <v>416</v>
      </c>
      <c r="F364" s="95">
        <v>61942</v>
      </c>
      <c r="G364" s="95">
        <v>61942</v>
      </c>
      <c r="H364" s="95">
        <v>61942</v>
      </c>
      <c r="I364" s="95">
        <v>61942</v>
      </c>
      <c r="J364" s="10"/>
      <c r="K364" s="485"/>
      <c r="L364" s="490"/>
      <c r="M364" s="209"/>
    </row>
    <row r="365" spans="1:13" ht="26" hidden="1" x14ac:dyDescent="0.3">
      <c r="A365" s="524">
        <v>16</v>
      </c>
      <c r="B365" s="514" t="s">
        <v>32</v>
      </c>
      <c r="C365" s="495" t="s">
        <v>512</v>
      </c>
      <c r="D365" s="509"/>
      <c r="E365" s="49" t="s">
        <v>66</v>
      </c>
      <c r="F365" s="95">
        <f>42851+4361</f>
        <v>47212</v>
      </c>
      <c r="G365" s="95">
        <f t="shared" ref="G365:I365" si="96">42851+4361</f>
        <v>47212</v>
      </c>
      <c r="H365" s="95">
        <f t="shared" si="96"/>
        <v>47212</v>
      </c>
      <c r="I365" s="95">
        <f t="shared" si="96"/>
        <v>47212</v>
      </c>
      <c r="J365" s="10"/>
      <c r="K365" s="484">
        <v>311800</v>
      </c>
      <c r="L365" s="489">
        <f>(F365+F366)/K365</f>
        <v>0.15141757536882616</v>
      </c>
      <c r="M365" s="211" t="s">
        <v>513</v>
      </c>
    </row>
    <row r="366" spans="1:13" ht="52" hidden="1" x14ac:dyDescent="0.3">
      <c r="A366" s="524"/>
      <c r="B366" s="514"/>
      <c r="C366" s="496"/>
      <c r="D366" s="509"/>
      <c r="E366" s="47" t="s">
        <v>428</v>
      </c>
      <c r="F366" s="95">
        <f>4361-4361</f>
        <v>0</v>
      </c>
      <c r="G366" s="95"/>
      <c r="H366" s="95"/>
      <c r="I366" s="84"/>
      <c r="J366" s="10"/>
      <c r="K366" s="485"/>
      <c r="L366" s="490"/>
      <c r="M366" s="211" t="s">
        <v>514</v>
      </c>
    </row>
    <row r="367" spans="1:13" ht="52" hidden="1" x14ac:dyDescent="0.3">
      <c r="A367" s="7">
        <v>17</v>
      </c>
      <c r="B367" s="21" t="s">
        <v>32</v>
      </c>
      <c r="C367" s="5" t="s">
        <v>515</v>
      </c>
      <c r="D367" s="509"/>
      <c r="E367" s="47" t="s">
        <v>428</v>
      </c>
      <c r="F367" s="95">
        <v>18198</v>
      </c>
      <c r="G367" s="95">
        <v>18198</v>
      </c>
      <c r="H367" s="95"/>
      <c r="I367" s="95"/>
      <c r="J367" s="10"/>
      <c r="K367" s="308">
        <v>18198</v>
      </c>
      <c r="L367" s="309">
        <f t="shared" ref="L367:L389" si="97">F367/K367</f>
        <v>1</v>
      </c>
      <c r="M367" s="211" t="s">
        <v>516</v>
      </c>
    </row>
    <row r="368" spans="1:13" ht="52" hidden="1" x14ac:dyDescent="0.3">
      <c r="A368" s="7">
        <v>18</v>
      </c>
      <c r="B368" s="21" t="s">
        <v>32</v>
      </c>
      <c r="C368" s="5" t="s">
        <v>517</v>
      </c>
      <c r="D368" s="509"/>
      <c r="E368" s="49" t="s">
        <v>66</v>
      </c>
      <c r="F368" s="95">
        <v>16094</v>
      </c>
      <c r="G368" s="95">
        <v>16094</v>
      </c>
      <c r="H368" s="95">
        <v>34292</v>
      </c>
      <c r="I368" s="95">
        <v>34292</v>
      </c>
      <c r="J368" s="10"/>
      <c r="K368" s="308">
        <v>208279</v>
      </c>
      <c r="L368" s="309">
        <f t="shared" si="97"/>
        <v>7.7271352368697754E-2</v>
      </c>
      <c r="M368" s="318" t="s">
        <v>518</v>
      </c>
    </row>
    <row r="369" spans="1:13" ht="195" hidden="1" x14ac:dyDescent="0.3">
      <c r="A369" s="7">
        <v>19</v>
      </c>
      <c r="B369" s="21" t="s">
        <v>32</v>
      </c>
      <c r="C369" s="45" t="s">
        <v>519</v>
      </c>
      <c r="D369" s="496"/>
      <c r="E369" s="2" t="s">
        <v>67</v>
      </c>
      <c r="F369" s="95">
        <v>17752</v>
      </c>
      <c r="G369" s="95">
        <v>17752</v>
      </c>
      <c r="H369" s="95">
        <v>17752</v>
      </c>
      <c r="I369" s="95">
        <v>17752</v>
      </c>
      <c r="J369" s="10"/>
      <c r="K369" s="308">
        <v>117237</v>
      </c>
      <c r="L369" s="309">
        <f t="shared" si="97"/>
        <v>0.15141977362095585</v>
      </c>
      <c r="M369" s="3" t="s">
        <v>520</v>
      </c>
    </row>
    <row r="370" spans="1:13" ht="104" hidden="1" x14ac:dyDescent="0.3">
      <c r="A370" s="524">
        <v>20</v>
      </c>
      <c r="B370" s="514" t="s">
        <v>32</v>
      </c>
      <c r="C370" s="495" t="s">
        <v>521</v>
      </c>
      <c r="D370" s="495" t="s">
        <v>522</v>
      </c>
      <c r="E370" s="2" t="s">
        <v>170</v>
      </c>
      <c r="F370" s="95">
        <v>58901</v>
      </c>
      <c r="G370" s="95">
        <v>58901</v>
      </c>
      <c r="H370" s="95">
        <v>58901</v>
      </c>
      <c r="I370" s="95">
        <v>58901</v>
      </c>
      <c r="J370" s="10"/>
      <c r="K370" s="308">
        <v>389000</v>
      </c>
      <c r="L370" s="309">
        <f t="shared" si="97"/>
        <v>0.15141645244215937</v>
      </c>
      <c r="M370" s="509" t="s">
        <v>523</v>
      </c>
    </row>
    <row r="371" spans="1:13" ht="130" hidden="1" x14ac:dyDescent="0.3">
      <c r="A371" s="524"/>
      <c r="B371" s="514"/>
      <c r="C371" s="496"/>
      <c r="D371" s="509"/>
      <c r="E371" s="2" t="s">
        <v>524</v>
      </c>
      <c r="F371" s="95">
        <v>1666</v>
      </c>
      <c r="G371" s="95">
        <v>1666</v>
      </c>
      <c r="H371" s="95">
        <v>1666</v>
      </c>
      <c r="I371" s="95">
        <v>1666</v>
      </c>
      <c r="J371" s="10"/>
      <c r="K371" s="308">
        <v>11000</v>
      </c>
      <c r="L371" s="309">
        <f t="shared" si="97"/>
        <v>0.15145454545454545</v>
      </c>
      <c r="M371" s="537"/>
    </row>
    <row r="372" spans="1:13" ht="104" hidden="1" x14ac:dyDescent="0.3">
      <c r="A372" s="524">
        <v>21</v>
      </c>
      <c r="B372" s="514" t="s">
        <v>32</v>
      </c>
      <c r="C372" s="495" t="s">
        <v>525</v>
      </c>
      <c r="D372" s="509"/>
      <c r="E372" s="2" t="s">
        <v>170</v>
      </c>
      <c r="F372" s="95">
        <v>241332</v>
      </c>
      <c r="G372" s="95">
        <v>241332</v>
      </c>
      <c r="H372" s="95">
        <v>241332</v>
      </c>
      <c r="I372" s="95">
        <v>241332</v>
      </c>
      <c r="J372" s="10"/>
      <c r="K372" s="308">
        <v>1593816</v>
      </c>
      <c r="L372" s="309">
        <f t="shared" si="97"/>
        <v>0.15141772952461263</v>
      </c>
      <c r="M372" s="509" t="s">
        <v>526</v>
      </c>
    </row>
    <row r="373" spans="1:13" ht="130" hidden="1" x14ac:dyDescent="0.3">
      <c r="A373" s="524"/>
      <c r="B373" s="514"/>
      <c r="C373" s="496"/>
      <c r="D373" s="509"/>
      <c r="E373" s="2" t="s">
        <v>524</v>
      </c>
      <c r="F373" s="95">
        <v>2551</v>
      </c>
      <c r="G373" s="95">
        <v>2551</v>
      </c>
      <c r="H373" s="95">
        <v>2551</v>
      </c>
      <c r="I373" s="95">
        <v>2551</v>
      </c>
      <c r="J373" s="10"/>
      <c r="K373" s="308">
        <v>16846</v>
      </c>
      <c r="L373" s="309">
        <f t="shared" si="97"/>
        <v>0.15143060667220706</v>
      </c>
      <c r="M373" s="537"/>
    </row>
    <row r="374" spans="1:13" ht="104" hidden="1" x14ac:dyDescent="0.3">
      <c r="A374" s="7">
        <v>22</v>
      </c>
      <c r="B374" s="21" t="s">
        <v>32</v>
      </c>
      <c r="C374" s="5" t="s">
        <v>527</v>
      </c>
      <c r="D374" s="496"/>
      <c r="E374" s="2" t="s">
        <v>170</v>
      </c>
      <c r="F374" s="95">
        <v>68587</v>
      </c>
      <c r="G374" s="95">
        <v>68587</v>
      </c>
      <c r="H374" s="95">
        <v>68587</v>
      </c>
      <c r="I374" s="95">
        <v>68587</v>
      </c>
      <c r="J374" s="10"/>
      <c r="K374" s="308">
        <v>452966</v>
      </c>
      <c r="L374" s="309">
        <f t="shared" si="97"/>
        <v>0.15141754568775581</v>
      </c>
      <c r="M374" s="3" t="s">
        <v>528</v>
      </c>
    </row>
    <row r="375" spans="1:13" ht="52" hidden="1" x14ac:dyDescent="0.3">
      <c r="A375" s="7">
        <v>23</v>
      </c>
      <c r="B375" s="21" t="s">
        <v>32</v>
      </c>
      <c r="C375" s="5" t="s">
        <v>529</v>
      </c>
      <c r="D375" s="495" t="s">
        <v>530</v>
      </c>
      <c r="E375" s="2" t="s">
        <v>68</v>
      </c>
      <c r="F375" s="95">
        <v>13088</v>
      </c>
      <c r="G375" s="95">
        <v>13088</v>
      </c>
      <c r="H375" s="95">
        <v>13088</v>
      </c>
      <c r="I375" s="95">
        <v>13088</v>
      </c>
      <c r="J375" s="146"/>
      <c r="K375" s="310">
        <v>114621</v>
      </c>
      <c r="L375" s="311">
        <f t="shared" si="97"/>
        <v>0.11418500972771133</v>
      </c>
      <c r="M375" s="509" t="s">
        <v>531</v>
      </c>
    </row>
    <row r="376" spans="1:13" ht="52" hidden="1" x14ac:dyDescent="0.3">
      <c r="A376" s="7">
        <v>24</v>
      </c>
      <c r="B376" s="21" t="s">
        <v>32</v>
      </c>
      <c r="C376" s="5" t="s">
        <v>532</v>
      </c>
      <c r="D376" s="509"/>
      <c r="E376" s="2" t="s">
        <v>68</v>
      </c>
      <c r="F376" s="95">
        <v>155507</v>
      </c>
      <c r="G376" s="95">
        <v>155507</v>
      </c>
      <c r="H376" s="95">
        <v>155507</v>
      </c>
      <c r="I376" s="95">
        <v>155507</v>
      </c>
      <c r="J376" s="146"/>
      <c r="K376" s="310">
        <v>155507</v>
      </c>
      <c r="L376" s="311">
        <f t="shared" si="97"/>
        <v>1</v>
      </c>
      <c r="M376" s="538"/>
    </row>
    <row r="377" spans="1:13" ht="52" hidden="1" x14ac:dyDescent="0.3">
      <c r="A377" s="7">
        <v>25</v>
      </c>
      <c r="B377" s="21" t="s">
        <v>32</v>
      </c>
      <c r="C377" s="5" t="s">
        <v>533</v>
      </c>
      <c r="D377" s="509"/>
      <c r="E377" s="2" t="s">
        <v>68</v>
      </c>
      <c r="F377" s="95">
        <v>200000</v>
      </c>
      <c r="G377" s="95">
        <v>200000</v>
      </c>
      <c r="H377" s="95">
        <v>200000</v>
      </c>
      <c r="I377" s="95">
        <v>200000</v>
      </c>
      <c r="J377" s="147"/>
      <c r="K377" s="308">
        <v>200000</v>
      </c>
      <c r="L377" s="309">
        <f t="shared" si="97"/>
        <v>1</v>
      </c>
      <c r="M377" s="538"/>
    </row>
    <row r="378" spans="1:13" ht="52" hidden="1" x14ac:dyDescent="0.3">
      <c r="A378" s="7">
        <v>26</v>
      </c>
      <c r="B378" s="21" t="s">
        <v>32</v>
      </c>
      <c r="C378" s="5" t="s">
        <v>534</v>
      </c>
      <c r="D378" s="509"/>
      <c r="E378" s="2" t="s">
        <v>68</v>
      </c>
      <c r="F378" s="95">
        <v>100000</v>
      </c>
      <c r="G378" s="95">
        <v>100000</v>
      </c>
      <c r="H378" s="95">
        <v>100000</v>
      </c>
      <c r="I378" s="95">
        <v>100000</v>
      </c>
      <c r="J378" s="146"/>
      <c r="K378" s="310">
        <v>100000</v>
      </c>
      <c r="L378" s="311">
        <f t="shared" si="97"/>
        <v>1</v>
      </c>
      <c r="M378" s="538"/>
    </row>
    <row r="379" spans="1:13" ht="52" hidden="1" x14ac:dyDescent="0.3">
      <c r="A379" s="7">
        <v>27</v>
      </c>
      <c r="B379" s="21" t="s">
        <v>32</v>
      </c>
      <c r="C379" s="5" t="s">
        <v>535</v>
      </c>
      <c r="D379" s="509"/>
      <c r="E379" s="2" t="s">
        <v>68</v>
      </c>
      <c r="F379" s="95">
        <v>200000</v>
      </c>
      <c r="G379" s="95">
        <v>200000</v>
      </c>
      <c r="H379" s="95">
        <v>200000</v>
      </c>
      <c r="I379" s="95">
        <v>200000</v>
      </c>
      <c r="J379" s="146"/>
      <c r="K379" s="310">
        <v>200000</v>
      </c>
      <c r="L379" s="311">
        <f t="shared" si="97"/>
        <v>1</v>
      </c>
      <c r="M379" s="538"/>
    </row>
    <row r="380" spans="1:13" ht="52" hidden="1" x14ac:dyDescent="0.3">
      <c r="A380" s="7">
        <v>28</v>
      </c>
      <c r="B380" s="21" t="s">
        <v>32</v>
      </c>
      <c r="C380" s="5" t="s">
        <v>536</v>
      </c>
      <c r="D380" s="496"/>
      <c r="E380" s="2" t="s">
        <v>68</v>
      </c>
      <c r="F380" s="95">
        <v>396222</v>
      </c>
      <c r="G380" s="95">
        <v>396222</v>
      </c>
      <c r="H380" s="95">
        <v>396222</v>
      </c>
      <c r="I380" s="95">
        <v>396222</v>
      </c>
      <c r="J380" s="146"/>
      <c r="K380" s="310">
        <v>396222</v>
      </c>
      <c r="L380" s="311">
        <f t="shared" si="97"/>
        <v>1</v>
      </c>
      <c r="M380" s="537"/>
    </row>
    <row r="381" spans="1:13" ht="26" hidden="1" x14ac:dyDescent="0.3">
      <c r="A381" s="524">
        <v>29</v>
      </c>
      <c r="B381" s="497" t="s">
        <v>32</v>
      </c>
      <c r="C381" s="495"/>
      <c r="D381" s="495" t="s">
        <v>210</v>
      </c>
      <c r="E381" s="49" t="s">
        <v>66</v>
      </c>
      <c r="F381" s="95">
        <f>188058+4511+1221+21724</f>
        <v>215514</v>
      </c>
      <c r="G381" s="95">
        <f t="shared" ref="G381:I381" si="98">188058+4511+1221+21724</f>
        <v>215514</v>
      </c>
      <c r="H381" s="95">
        <f t="shared" si="98"/>
        <v>215514</v>
      </c>
      <c r="I381" s="95">
        <f t="shared" si="98"/>
        <v>215514</v>
      </c>
      <c r="J381" s="10"/>
      <c r="K381" s="308">
        <v>1241982</v>
      </c>
      <c r="L381" s="309">
        <f t="shared" si="97"/>
        <v>0.17352425397469529</v>
      </c>
      <c r="M381" s="539" t="s">
        <v>537</v>
      </c>
    </row>
    <row r="382" spans="1:13" ht="65" hidden="1" x14ac:dyDescent="0.3">
      <c r="A382" s="524"/>
      <c r="B382" s="498"/>
      <c r="C382" s="496"/>
      <c r="D382" s="496"/>
      <c r="E382" s="2" t="s">
        <v>499</v>
      </c>
      <c r="F382" s="95">
        <f>1094+3000-1094-3000+2873</f>
        <v>2873</v>
      </c>
      <c r="G382" s="95">
        <f t="shared" ref="G382:I382" si="99">1094+3000-1094-3000+2873</f>
        <v>2873</v>
      </c>
      <c r="H382" s="95">
        <f t="shared" si="99"/>
        <v>2873</v>
      </c>
      <c r="I382" s="95">
        <f t="shared" si="99"/>
        <v>2873</v>
      </c>
      <c r="J382" s="10"/>
      <c r="K382" s="308">
        <v>7222</v>
      </c>
      <c r="L382" s="309">
        <f t="shared" si="97"/>
        <v>0.39781224037662699</v>
      </c>
      <c r="M382" s="540"/>
    </row>
    <row r="383" spans="1:13" x14ac:dyDescent="0.3">
      <c r="A383" s="457" t="s">
        <v>538</v>
      </c>
      <c r="B383" s="458"/>
      <c r="C383" s="458"/>
      <c r="D383" s="458"/>
      <c r="E383" s="459"/>
      <c r="F383" s="39">
        <f>SUM(F389:F393)</f>
        <v>1952198</v>
      </c>
      <c r="G383" s="39">
        <f>SUM(G389:G393)</f>
        <v>1952198</v>
      </c>
      <c r="H383" s="39">
        <f>SUM(H389:H393)</f>
        <v>1952198</v>
      </c>
      <c r="I383" s="39">
        <f>SUM(I389:I393)</f>
        <v>1952198</v>
      </c>
      <c r="J383" s="141"/>
      <c r="K383" s="226"/>
      <c r="L383" s="220"/>
      <c r="M383" s="163"/>
    </row>
    <row r="384" spans="1:13" x14ac:dyDescent="0.3">
      <c r="A384" s="460" t="s">
        <v>539</v>
      </c>
      <c r="B384" s="461"/>
      <c r="C384" s="461"/>
      <c r="D384" s="461"/>
      <c r="E384" s="462"/>
      <c r="F384" s="99">
        <v>13618408</v>
      </c>
      <c r="G384" s="86"/>
      <c r="H384" s="86"/>
      <c r="I384" s="86"/>
      <c r="J384" s="143"/>
      <c r="K384" s="227"/>
      <c r="L384" s="221"/>
      <c r="M384" s="144"/>
    </row>
    <row r="385" spans="1:13" x14ac:dyDescent="0.3">
      <c r="A385" s="463" t="s">
        <v>540</v>
      </c>
      <c r="B385" s="464"/>
      <c r="C385" s="464"/>
      <c r="D385" s="464"/>
      <c r="E385" s="465"/>
      <c r="F385" s="44">
        <f>F384-F383</f>
        <v>11666210</v>
      </c>
      <c r="G385" s="87"/>
      <c r="H385" s="87"/>
      <c r="I385" s="87"/>
      <c r="J385" s="143"/>
      <c r="K385" s="227"/>
      <c r="L385" s="221"/>
      <c r="M385" s="144"/>
    </row>
    <row r="386" spans="1:13" x14ac:dyDescent="0.3">
      <c r="A386" s="475" t="s">
        <v>66</v>
      </c>
      <c r="B386" s="476"/>
      <c r="C386" s="476"/>
      <c r="D386" s="476"/>
      <c r="E386" s="477"/>
      <c r="F386" s="376">
        <f>F389+F390+F392</f>
        <v>901454</v>
      </c>
      <c r="G386" s="376">
        <f t="shared" ref="G386:I386" si="100">G389+G390+G392</f>
        <v>901454</v>
      </c>
      <c r="H386" s="376">
        <f t="shared" si="100"/>
        <v>901454</v>
      </c>
      <c r="I386" s="376">
        <f t="shared" si="100"/>
        <v>901454</v>
      </c>
      <c r="J386" s="327"/>
      <c r="K386" s="368"/>
      <c r="L386" s="369"/>
      <c r="M386" s="366"/>
    </row>
    <row r="387" spans="1:13" x14ac:dyDescent="0.3">
      <c r="A387" s="475" t="s">
        <v>67</v>
      </c>
      <c r="B387" s="476"/>
      <c r="C387" s="476"/>
      <c r="D387" s="476"/>
      <c r="E387" s="477"/>
      <c r="F387" s="376">
        <f>F393</f>
        <v>881523</v>
      </c>
      <c r="G387" s="376">
        <f t="shared" ref="G387:I387" si="101">G393</f>
        <v>881523</v>
      </c>
      <c r="H387" s="376">
        <f t="shared" si="101"/>
        <v>881523</v>
      </c>
      <c r="I387" s="376">
        <f t="shared" si="101"/>
        <v>881523</v>
      </c>
      <c r="J387" s="327"/>
      <c r="K387" s="368"/>
      <c r="L387" s="369"/>
      <c r="M387" s="366"/>
    </row>
    <row r="388" spans="1:13" x14ac:dyDescent="0.3">
      <c r="A388" s="475" t="s">
        <v>70</v>
      </c>
      <c r="B388" s="476"/>
      <c r="C388" s="476"/>
      <c r="D388" s="476"/>
      <c r="E388" s="477"/>
      <c r="F388" s="376">
        <f>F391</f>
        <v>169221</v>
      </c>
      <c r="G388" s="376">
        <f t="shared" ref="G388:I388" si="102">G391</f>
        <v>169221</v>
      </c>
      <c r="H388" s="376">
        <f t="shared" si="102"/>
        <v>169221</v>
      </c>
      <c r="I388" s="376">
        <f t="shared" si="102"/>
        <v>169221</v>
      </c>
      <c r="J388" s="327"/>
      <c r="K388" s="368"/>
      <c r="L388" s="369"/>
      <c r="M388" s="366"/>
    </row>
    <row r="389" spans="1:13" ht="39" hidden="1" x14ac:dyDescent="0.3">
      <c r="A389" s="7">
        <v>1</v>
      </c>
      <c r="B389" s="7" t="s">
        <v>33</v>
      </c>
      <c r="C389" s="5" t="s">
        <v>541</v>
      </c>
      <c r="D389" s="10" t="s">
        <v>542</v>
      </c>
      <c r="E389" s="5" t="s">
        <v>66</v>
      </c>
      <c r="F389" s="84">
        <v>34913</v>
      </c>
      <c r="G389" s="20">
        <v>34913</v>
      </c>
      <c r="H389" s="20">
        <v>34913</v>
      </c>
      <c r="I389" s="20">
        <v>34913</v>
      </c>
      <c r="J389" s="10"/>
      <c r="K389" s="308">
        <v>698231</v>
      </c>
      <c r="L389" s="309">
        <f t="shared" si="97"/>
        <v>5.0002076676629939E-2</v>
      </c>
      <c r="M389" s="211" t="s">
        <v>1011</v>
      </c>
    </row>
    <row r="390" spans="1:13" ht="26" hidden="1" x14ac:dyDescent="0.3">
      <c r="A390" s="524">
        <v>2</v>
      </c>
      <c r="B390" s="493" t="s">
        <v>33</v>
      </c>
      <c r="C390" s="495" t="s">
        <v>543</v>
      </c>
      <c r="D390" s="541" t="s">
        <v>544</v>
      </c>
      <c r="E390" s="5" t="s">
        <v>66</v>
      </c>
      <c r="F390" s="84">
        <v>671123</v>
      </c>
      <c r="G390" s="20">
        <v>671123</v>
      </c>
      <c r="H390" s="20">
        <v>671123</v>
      </c>
      <c r="I390" s="20">
        <v>671123</v>
      </c>
      <c r="J390" s="10"/>
      <c r="K390" s="544">
        <v>7143836</v>
      </c>
      <c r="L390" s="545">
        <f>(F390+F391+F392)/K390</f>
        <v>0.14498681100741953</v>
      </c>
      <c r="M390" s="211" t="s">
        <v>1012</v>
      </c>
    </row>
    <row r="391" spans="1:13" ht="120.75" hidden="1" customHeight="1" x14ac:dyDescent="0.3">
      <c r="A391" s="524"/>
      <c r="B391" s="494"/>
      <c r="C391" s="496"/>
      <c r="D391" s="537"/>
      <c r="E391" s="5" t="s">
        <v>545</v>
      </c>
      <c r="F391" s="84">
        <v>169221</v>
      </c>
      <c r="G391" s="20">
        <v>169221</v>
      </c>
      <c r="H391" s="20">
        <v>169221</v>
      </c>
      <c r="I391" s="20">
        <v>169221</v>
      </c>
      <c r="J391" s="10"/>
      <c r="K391" s="544"/>
      <c r="L391" s="545"/>
      <c r="M391" s="211" t="s">
        <v>1013</v>
      </c>
    </row>
    <row r="392" spans="1:13" ht="39" hidden="1" x14ac:dyDescent="0.3">
      <c r="A392" s="7">
        <v>3</v>
      </c>
      <c r="B392" s="7" t="s">
        <v>33</v>
      </c>
      <c r="C392" s="5" t="s">
        <v>546</v>
      </c>
      <c r="D392" s="10" t="s">
        <v>544</v>
      </c>
      <c r="E392" s="5" t="s">
        <v>66</v>
      </c>
      <c r="F392" s="84">
        <f>52511+42907+100000</f>
        <v>195418</v>
      </c>
      <c r="G392" s="84">
        <f t="shared" ref="G392:I392" si="103">52511+42907+100000</f>
        <v>195418</v>
      </c>
      <c r="H392" s="84">
        <f t="shared" si="103"/>
        <v>195418</v>
      </c>
      <c r="I392" s="84">
        <f t="shared" si="103"/>
        <v>195418</v>
      </c>
      <c r="J392" s="10"/>
      <c r="K392" s="544"/>
      <c r="L392" s="545"/>
      <c r="M392" s="211" t="s">
        <v>1014</v>
      </c>
    </row>
    <row r="393" spans="1:13" ht="33" hidden="1" customHeight="1" x14ac:dyDescent="0.3">
      <c r="A393" s="7">
        <v>4</v>
      </c>
      <c r="B393" s="7" t="s">
        <v>33</v>
      </c>
      <c r="C393" s="5" t="s">
        <v>547</v>
      </c>
      <c r="D393" s="10" t="s">
        <v>548</v>
      </c>
      <c r="E393" s="5" t="s">
        <v>67</v>
      </c>
      <c r="F393" s="20">
        <f>575523+10000+296000</f>
        <v>881523</v>
      </c>
      <c r="G393" s="20">
        <f t="shared" ref="G393:I393" si="104">575523+10000+296000</f>
        <v>881523</v>
      </c>
      <c r="H393" s="20">
        <f t="shared" si="104"/>
        <v>881523</v>
      </c>
      <c r="I393" s="20">
        <f t="shared" si="104"/>
        <v>881523</v>
      </c>
      <c r="J393" s="10"/>
      <c r="K393" s="308">
        <v>46497839</v>
      </c>
      <c r="L393" s="309">
        <f t="shared" ref="L393:L435" si="105">F393/K393</f>
        <v>1.8958364925303301E-2</v>
      </c>
      <c r="M393" s="211" t="s">
        <v>549</v>
      </c>
    </row>
    <row r="394" spans="1:13" x14ac:dyDescent="0.3">
      <c r="A394" s="457" t="s">
        <v>550</v>
      </c>
      <c r="B394" s="458"/>
      <c r="C394" s="458"/>
      <c r="D394" s="458"/>
      <c r="E394" s="459"/>
      <c r="F394" s="39">
        <f>SUM(F402:F428)</f>
        <v>4596501</v>
      </c>
      <c r="G394" s="39">
        <f t="shared" ref="G394:I394" si="106">SUM(G402:G428)</f>
        <v>4596501</v>
      </c>
      <c r="H394" s="39">
        <f t="shared" si="106"/>
        <v>4596501</v>
      </c>
      <c r="I394" s="39">
        <f t="shared" si="106"/>
        <v>4596501</v>
      </c>
      <c r="J394" s="141"/>
      <c r="K394" s="226"/>
      <c r="L394" s="220"/>
      <c r="M394" s="142"/>
    </row>
    <row r="395" spans="1:13" x14ac:dyDescent="0.3">
      <c r="A395" s="460" t="s">
        <v>551</v>
      </c>
      <c r="B395" s="461"/>
      <c r="C395" s="461"/>
      <c r="D395" s="461"/>
      <c r="E395" s="462"/>
      <c r="F395" s="99">
        <v>4596501</v>
      </c>
      <c r="G395" s="86"/>
      <c r="H395" s="86"/>
      <c r="I395" s="86"/>
      <c r="J395" s="143"/>
      <c r="K395" s="227"/>
      <c r="L395" s="221"/>
      <c r="M395" s="144"/>
    </row>
    <row r="396" spans="1:13" x14ac:dyDescent="0.3">
      <c r="A396" s="463" t="s">
        <v>552</v>
      </c>
      <c r="B396" s="464"/>
      <c r="C396" s="546"/>
      <c r="D396" s="546"/>
      <c r="E396" s="465"/>
      <c r="F396" s="44">
        <f>F395-F394</f>
        <v>0</v>
      </c>
      <c r="G396" s="87"/>
      <c r="H396" s="87"/>
      <c r="I396" s="87"/>
      <c r="J396" s="143"/>
      <c r="K396" s="227"/>
      <c r="L396" s="221"/>
      <c r="M396" s="144"/>
    </row>
    <row r="397" spans="1:13" x14ac:dyDescent="0.3">
      <c r="A397" s="475" t="s">
        <v>65</v>
      </c>
      <c r="B397" s="476"/>
      <c r="C397" s="476"/>
      <c r="D397" s="476"/>
      <c r="E397" s="477"/>
      <c r="F397" s="376">
        <f>F420+F421+F422+F423+F424+F425+F426+F427</f>
        <v>1084904</v>
      </c>
      <c r="G397" s="376">
        <f t="shared" ref="G397:I397" si="107">G420+G421+G422+G423+G424+G425+G426+G427</f>
        <v>1084904</v>
      </c>
      <c r="H397" s="376">
        <f t="shared" si="107"/>
        <v>1084904</v>
      </c>
      <c r="I397" s="376">
        <f t="shared" si="107"/>
        <v>1084904</v>
      </c>
      <c r="J397" s="327"/>
      <c r="K397" s="368"/>
      <c r="L397" s="369"/>
      <c r="M397" s="366"/>
    </row>
    <row r="398" spans="1:13" x14ac:dyDescent="0.3">
      <c r="A398" s="475" t="s">
        <v>66</v>
      </c>
      <c r="B398" s="476"/>
      <c r="C398" s="476"/>
      <c r="D398" s="476"/>
      <c r="E398" s="477"/>
      <c r="F398" s="376">
        <f>F402+F404+F405+F406+F407+F408+F409+F411+F413+F414+F415+F419</f>
        <v>1711272</v>
      </c>
      <c r="G398" s="376">
        <f t="shared" ref="G398:I398" si="108">G402+G404+G405+G406+G407+G408+G409+G411+G413+G414+G415+G419</f>
        <v>1711272</v>
      </c>
      <c r="H398" s="376">
        <f t="shared" si="108"/>
        <v>1711272</v>
      </c>
      <c r="I398" s="376">
        <f t="shared" si="108"/>
        <v>1711272</v>
      </c>
      <c r="J398" s="327"/>
      <c r="K398" s="368"/>
      <c r="L398" s="369"/>
      <c r="M398" s="366"/>
    </row>
    <row r="399" spans="1:13" x14ac:dyDescent="0.3">
      <c r="A399" s="475" t="s">
        <v>67</v>
      </c>
      <c r="B399" s="476"/>
      <c r="C399" s="476"/>
      <c r="D399" s="476"/>
      <c r="E399" s="477"/>
      <c r="F399" s="376">
        <f>F412+F416+F417+F418</f>
        <v>886096</v>
      </c>
      <c r="G399" s="376">
        <f t="shared" ref="G399:I399" si="109">G412+G416+G417+G418</f>
        <v>886096</v>
      </c>
      <c r="H399" s="376">
        <f t="shared" si="109"/>
        <v>886096</v>
      </c>
      <c r="I399" s="376">
        <f t="shared" si="109"/>
        <v>886096</v>
      </c>
      <c r="J399" s="327"/>
      <c r="K399" s="368"/>
      <c r="L399" s="369"/>
      <c r="M399" s="366"/>
    </row>
    <row r="400" spans="1:13" x14ac:dyDescent="0.3">
      <c r="A400" s="475" t="s">
        <v>68</v>
      </c>
      <c r="B400" s="476"/>
      <c r="C400" s="476"/>
      <c r="D400" s="476"/>
      <c r="E400" s="477"/>
      <c r="F400" s="376">
        <f>F403+F410</f>
        <v>14229</v>
      </c>
      <c r="G400" s="376">
        <f t="shared" ref="G400:I400" si="110">G403+G410</f>
        <v>14229</v>
      </c>
      <c r="H400" s="376">
        <f t="shared" si="110"/>
        <v>14229</v>
      </c>
      <c r="I400" s="376">
        <f t="shared" si="110"/>
        <v>14229</v>
      </c>
      <c r="J400" s="327"/>
      <c r="K400" s="368"/>
      <c r="L400" s="369"/>
      <c r="M400" s="366"/>
    </row>
    <row r="401" spans="1:13" x14ac:dyDescent="0.3">
      <c r="A401" s="475" t="s">
        <v>70</v>
      </c>
      <c r="B401" s="476"/>
      <c r="C401" s="476"/>
      <c r="D401" s="476"/>
      <c r="E401" s="477"/>
      <c r="F401" s="376">
        <f>F428</f>
        <v>900000</v>
      </c>
      <c r="G401" s="376">
        <f t="shared" ref="G401:I401" si="111">G428</f>
        <v>900000</v>
      </c>
      <c r="H401" s="376">
        <f t="shared" si="111"/>
        <v>900000</v>
      </c>
      <c r="I401" s="376">
        <f t="shared" si="111"/>
        <v>900000</v>
      </c>
      <c r="J401" s="327"/>
      <c r="K401" s="368"/>
      <c r="L401" s="369"/>
      <c r="M401" s="366"/>
    </row>
    <row r="402" spans="1:13" ht="39" hidden="1" customHeight="1" x14ac:dyDescent="0.3">
      <c r="A402" s="235">
        <v>1</v>
      </c>
      <c r="B402" s="278" t="s">
        <v>36</v>
      </c>
      <c r="C402" s="208" t="s">
        <v>553</v>
      </c>
      <c r="D402" s="208" t="s">
        <v>554</v>
      </c>
      <c r="E402" s="208" t="s">
        <v>66</v>
      </c>
      <c r="F402" s="96">
        <v>30000</v>
      </c>
      <c r="G402" s="96">
        <v>30000</v>
      </c>
      <c r="H402" s="96">
        <v>30000</v>
      </c>
      <c r="I402" s="96">
        <v>30000</v>
      </c>
      <c r="J402" s="209"/>
      <c r="K402" s="303">
        <v>426168</v>
      </c>
      <c r="L402" s="312">
        <f>F402/K402</f>
        <v>7.0394773891986256E-2</v>
      </c>
      <c r="M402" s="210" t="s">
        <v>555</v>
      </c>
    </row>
    <row r="403" spans="1:13" ht="26" hidden="1" x14ac:dyDescent="0.3">
      <c r="A403" s="276">
        <v>2</v>
      </c>
      <c r="B403" s="281" t="s">
        <v>36</v>
      </c>
      <c r="C403" s="304" t="s">
        <v>556</v>
      </c>
      <c r="D403" s="304" t="s">
        <v>554</v>
      </c>
      <c r="E403" s="282" t="s">
        <v>557</v>
      </c>
      <c r="F403" s="96">
        <v>4229</v>
      </c>
      <c r="G403" s="96">
        <v>4229</v>
      </c>
      <c r="H403" s="96">
        <v>4229</v>
      </c>
      <c r="I403" s="96">
        <v>4229</v>
      </c>
      <c r="J403" s="209"/>
      <c r="K403" s="303">
        <v>14229</v>
      </c>
      <c r="L403" s="312">
        <f>F403/K403</f>
        <v>0.29720992339588165</v>
      </c>
      <c r="M403" s="210"/>
    </row>
    <row r="404" spans="1:13" ht="91" hidden="1" x14ac:dyDescent="0.3">
      <c r="A404" s="7">
        <v>3</v>
      </c>
      <c r="B404" s="7" t="s">
        <v>36</v>
      </c>
      <c r="C404" s="208" t="s">
        <v>558</v>
      </c>
      <c r="D404" s="208" t="s">
        <v>559</v>
      </c>
      <c r="E404" s="208" t="s">
        <v>66</v>
      </c>
      <c r="F404" s="96">
        <v>152059</v>
      </c>
      <c r="G404" s="96">
        <v>152059</v>
      </c>
      <c r="H404" s="96">
        <v>152059</v>
      </c>
      <c r="I404" s="96">
        <v>152059</v>
      </c>
      <c r="J404" s="211" t="s">
        <v>560</v>
      </c>
      <c r="K404" s="308">
        <v>372438</v>
      </c>
      <c r="L404" s="312">
        <f t="shared" si="105"/>
        <v>0.40828003587174239</v>
      </c>
      <c r="M404" s="210" t="s">
        <v>555</v>
      </c>
    </row>
    <row r="405" spans="1:13" ht="26" hidden="1" x14ac:dyDescent="0.3">
      <c r="A405" s="7">
        <v>4</v>
      </c>
      <c r="B405" s="7" t="s">
        <v>36</v>
      </c>
      <c r="C405" s="279" t="s">
        <v>561</v>
      </c>
      <c r="D405" s="279" t="s">
        <v>562</v>
      </c>
      <c r="E405" s="208" t="s">
        <v>66</v>
      </c>
      <c r="F405" s="96">
        <v>56700</v>
      </c>
      <c r="G405" s="96">
        <v>56700</v>
      </c>
      <c r="H405" s="96">
        <v>56700</v>
      </c>
      <c r="I405" s="96">
        <v>56700</v>
      </c>
      <c r="J405" s="211"/>
      <c r="K405" s="358">
        <v>134000</v>
      </c>
      <c r="L405" s="312">
        <f t="shared" si="105"/>
        <v>0.42313432835820897</v>
      </c>
      <c r="M405" s="210" t="s">
        <v>563</v>
      </c>
    </row>
    <row r="406" spans="1:13" ht="26" hidden="1" x14ac:dyDescent="0.3">
      <c r="A406" s="7">
        <v>5</v>
      </c>
      <c r="B406" s="7" t="s">
        <v>36</v>
      </c>
      <c r="C406" s="283" t="s">
        <v>564</v>
      </c>
      <c r="D406" s="284" t="s">
        <v>565</v>
      </c>
      <c r="E406" s="284" t="s">
        <v>66</v>
      </c>
      <c r="F406" s="96">
        <v>3000</v>
      </c>
      <c r="G406" s="96">
        <v>3000</v>
      </c>
      <c r="H406" s="96">
        <v>3000</v>
      </c>
      <c r="I406" s="96">
        <v>3000</v>
      </c>
      <c r="J406" s="285" t="s">
        <v>133</v>
      </c>
      <c r="K406" s="358">
        <v>10000</v>
      </c>
      <c r="L406" s="312">
        <f t="shared" si="105"/>
        <v>0.3</v>
      </c>
      <c r="M406" s="208" t="s">
        <v>555</v>
      </c>
    </row>
    <row r="407" spans="1:13" ht="26" hidden="1" x14ac:dyDescent="0.3">
      <c r="A407" s="7">
        <v>6</v>
      </c>
      <c r="B407" s="7" t="s">
        <v>36</v>
      </c>
      <c r="C407" s="286" t="s">
        <v>566</v>
      </c>
      <c r="D407" s="287" t="s">
        <v>565</v>
      </c>
      <c r="E407" s="287" t="s">
        <v>66</v>
      </c>
      <c r="F407" s="96">
        <v>55724</v>
      </c>
      <c r="G407" s="96">
        <v>55724</v>
      </c>
      <c r="H407" s="96">
        <v>55724</v>
      </c>
      <c r="I407" s="96">
        <v>55724</v>
      </c>
      <c r="J407" s="288" t="s">
        <v>133</v>
      </c>
      <c r="K407" s="358">
        <v>1058775</v>
      </c>
      <c r="L407" s="312">
        <f t="shared" si="105"/>
        <v>5.2630634459634958E-2</v>
      </c>
      <c r="M407" s="279" t="s">
        <v>555</v>
      </c>
    </row>
    <row r="408" spans="1:13" ht="26" hidden="1" x14ac:dyDescent="0.3">
      <c r="A408" s="7">
        <v>7</v>
      </c>
      <c r="B408" s="7" t="s">
        <v>36</v>
      </c>
      <c r="C408" s="286" t="s">
        <v>567</v>
      </c>
      <c r="D408" s="287" t="s">
        <v>568</v>
      </c>
      <c r="E408" s="287" t="s">
        <v>66</v>
      </c>
      <c r="F408" s="96">
        <v>184483</v>
      </c>
      <c r="G408" s="96">
        <v>184483</v>
      </c>
      <c r="H408" s="96">
        <v>184483</v>
      </c>
      <c r="I408" s="96">
        <v>184483</v>
      </c>
      <c r="J408" s="288" t="s">
        <v>133</v>
      </c>
      <c r="K408" s="358">
        <v>580859</v>
      </c>
      <c r="L408" s="312">
        <f t="shared" si="105"/>
        <v>0.3176037558168161</v>
      </c>
      <c r="M408" s="279" t="s">
        <v>555</v>
      </c>
    </row>
    <row r="409" spans="1:13" ht="134.25" hidden="1" customHeight="1" x14ac:dyDescent="0.3">
      <c r="A409" s="7">
        <v>8</v>
      </c>
      <c r="B409" s="7" t="s">
        <v>36</v>
      </c>
      <c r="C409" s="279" t="s">
        <v>569</v>
      </c>
      <c r="D409" s="289" t="s">
        <v>568</v>
      </c>
      <c r="E409" s="289" t="s">
        <v>66</v>
      </c>
      <c r="F409" s="96">
        <v>57606</v>
      </c>
      <c r="G409" s="96">
        <v>57606</v>
      </c>
      <c r="H409" s="96">
        <v>57606</v>
      </c>
      <c r="I409" s="96">
        <v>57606</v>
      </c>
      <c r="J409" s="287" t="s">
        <v>570</v>
      </c>
      <c r="K409" s="358">
        <v>57606</v>
      </c>
      <c r="L409" s="312">
        <f t="shared" si="105"/>
        <v>1</v>
      </c>
      <c r="M409" s="279" t="s">
        <v>555</v>
      </c>
    </row>
    <row r="410" spans="1:13" ht="26" hidden="1" x14ac:dyDescent="0.3">
      <c r="A410" s="7">
        <v>9</v>
      </c>
      <c r="B410" s="7" t="s">
        <v>36</v>
      </c>
      <c r="C410" s="208" t="s">
        <v>571</v>
      </c>
      <c r="D410" s="282" t="s">
        <v>568</v>
      </c>
      <c r="E410" s="282" t="s">
        <v>557</v>
      </c>
      <c r="F410" s="96">
        <v>10000</v>
      </c>
      <c r="G410" s="96">
        <v>10000</v>
      </c>
      <c r="H410" s="96">
        <v>10000</v>
      </c>
      <c r="I410" s="96">
        <v>10000</v>
      </c>
      <c r="J410" s="285" t="s">
        <v>133</v>
      </c>
      <c r="K410" s="358">
        <v>25000</v>
      </c>
      <c r="L410" s="359">
        <f t="shared" si="105"/>
        <v>0.4</v>
      </c>
      <c r="M410" s="277"/>
    </row>
    <row r="411" spans="1:13" ht="26" hidden="1" x14ac:dyDescent="0.3">
      <c r="A411" s="7">
        <v>10</v>
      </c>
      <c r="B411" s="7" t="s">
        <v>36</v>
      </c>
      <c r="C411" s="279" t="s">
        <v>572</v>
      </c>
      <c r="D411" s="289" t="s">
        <v>210</v>
      </c>
      <c r="E411" s="289" t="s">
        <v>66</v>
      </c>
      <c r="F411" s="96">
        <v>147000</v>
      </c>
      <c r="G411" s="96">
        <v>147000</v>
      </c>
      <c r="H411" s="96">
        <v>147000</v>
      </c>
      <c r="I411" s="96">
        <v>147000</v>
      </c>
      <c r="J411" s="288" t="s">
        <v>133</v>
      </c>
      <c r="K411" s="358">
        <v>1000236</v>
      </c>
      <c r="L411" s="345">
        <f t="shared" si="105"/>
        <v>0.14696531618538025</v>
      </c>
      <c r="M411" s="280" t="s">
        <v>555</v>
      </c>
    </row>
    <row r="412" spans="1:13" ht="157.5" hidden="1" customHeight="1" x14ac:dyDescent="0.3">
      <c r="A412" s="7">
        <v>11</v>
      </c>
      <c r="B412" s="7" t="s">
        <v>36</v>
      </c>
      <c r="C412" s="279" t="s">
        <v>573</v>
      </c>
      <c r="D412" s="289" t="s">
        <v>574</v>
      </c>
      <c r="E412" s="289" t="s">
        <v>67</v>
      </c>
      <c r="F412" s="96">
        <v>393355</v>
      </c>
      <c r="G412" s="96">
        <v>393355</v>
      </c>
      <c r="H412" s="96">
        <v>393355</v>
      </c>
      <c r="I412" s="96">
        <v>393355</v>
      </c>
      <c r="J412" s="287" t="s">
        <v>575</v>
      </c>
      <c r="K412" s="358">
        <v>593355</v>
      </c>
      <c r="L412" s="360">
        <f t="shared" si="105"/>
        <v>0.66293365691702266</v>
      </c>
      <c r="M412" s="293"/>
    </row>
    <row r="413" spans="1:13" ht="39" hidden="1" x14ac:dyDescent="0.3">
      <c r="A413" s="7">
        <v>12</v>
      </c>
      <c r="B413" s="7" t="s">
        <v>36</v>
      </c>
      <c r="C413" s="279" t="s">
        <v>576</v>
      </c>
      <c r="D413" s="287" t="s">
        <v>577</v>
      </c>
      <c r="E413" s="289" t="s">
        <v>66</v>
      </c>
      <c r="F413" s="96">
        <v>48355</v>
      </c>
      <c r="G413" s="96">
        <v>48355</v>
      </c>
      <c r="H413" s="96">
        <v>48355</v>
      </c>
      <c r="I413" s="96">
        <v>48355</v>
      </c>
      <c r="J413" s="288" t="s">
        <v>133</v>
      </c>
      <c r="K413" s="358">
        <v>2271461</v>
      </c>
      <c r="L413" s="360">
        <f t="shared" si="105"/>
        <v>2.1288060855986522E-2</v>
      </c>
      <c r="M413" s="280" t="s">
        <v>555</v>
      </c>
    </row>
    <row r="414" spans="1:13" ht="135" hidden="1" customHeight="1" x14ac:dyDescent="0.3">
      <c r="A414" s="7">
        <v>13</v>
      </c>
      <c r="B414" s="7" t="s">
        <v>36</v>
      </c>
      <c r="C414" s="208" t="s">
        <v>578</v>
      </c>
      <c r="D414" s="282" t="s">
        <v>577</v>
      </c>
      <c r="E414" s="282" t="s">
        <v>66</v>
      </c>
      <c r="F414" s="96">
        <v>50000</v>
      </c>
      <c r="G414" s="96">
        <v>50000</v>
      </c>
      <c r="H414" s="96">
        <v>50000</v>
      </c>
      <c r="I414" s="96">
        <v>50000</v>
      </c>
      <c r="J414" s="284" t="s">
        <v>579</v>
      </c>
      <c r="K414" s="358">
        <v>383328</v>
      </c>
      <c r="L414" s="345">
        <f t="shared" si="105"/>
        <v>0.13043659737874613</v>
      </c>
      <c r="M414" s="208" t="s">
        <v>580</v>
      </c>
    </row>
    <row r="415" spans="1:13" ht="39" hidden="1" x14ac:dyDescent="0.3">
      <c r="A415" s="7">
        <v>14</v>
      </c>
      <c r="B415" s="235" t="s">
        <v>36</v>
      </c>
      <c r="C415" s="211" t="s">
        <v>581</v>
      </c>
      <c r="D415" s="284" t="s">
        <v>577</v>
      </c>
      <c r="E415" s="282" t="s">
        <v>66</v>
      </c>
      <c r="F415" s="96">
        <v>30000</v>
      </c>
      <c r="G415" s="96">
        <v>30000</v>
      </c>
      <c r="H415" s="96">
        <v>30000</v>
      </c>
      <c r="I415" s="96">
        <v>30000</v>
      </c>
      <c r="J415" s="284" t="s">
        <v>133</v>
      </c>
      <c r="K415" s="358">
        <v>140000</v>
      </c>
      <c r="L415" s="345">
        <f t="shared" si="105"/>
        <v>0.21428571428571427</v>
      </c>
      <c r="M415" s="279" t="s">
        <v>582</v>
      </c>
    </row>
    <row r="416" spans="1:13" ht="166.5" hidden="1" customHeight="1" x14ac:dyDescent="0.3">
      <c r="A416" s="37">
        <v>15</v>
      </c>
      <c r="B416" s="260" t="s">
        <v>36</v>
      </c>
      <c r="C416" s="291" t="s">
        <v>583</v>
      </c>
      <c r="D416" s="503" t="s">
        <v>577</v>
      </c>
      <c r="E416" s="289" t="s">
        <v>67</v>
      </c>
      <c r="F416" s="96">
        <v>94902</v>
      </c>
      <c r="G416" s="96">
        <v>94902</v>
      </c>
      <c r="H416" s="96">
        <v>94902</v>
      </c>
      <c r="I416" s="96">
        <v>94902</v>
      </c>
      <c r="J416" s="290" t="s">
        <v>133</v>
      </c>
      <c r="K416" s="358">
        <v>94902</v>
      </c>
      <c r="L416" s="312">
        <f t="shared" si="105"/>
        <v>1</v>
      </c>
      <c r="M416" s="542" t="s">
        <v>584</v>
      </c>
    </row>
    <row r="417" spans="1:13" ht="52" hidden="1" customHeight="1" x14ac:dyDescent="0.3">
      <c r="A417" s="37">
        <v>16</v>
      </c>
      <c r="B417" s="260" t="s">
        <v>36</v>
      </c>
      <c r="C417" s="291" t="s">
        <v>585</v>
      </c>
      <c r="D417" s="507"/>
      <c r="E417" s="289" t="s">
        <v>67</v>
      </c>
      <c r="F417" s="96">
        <v>343659</v>
      </c>
      <c r="G417" s="96">
        <v>343659</v>
      </c>
      <c r="H417" s="96">
        <v>343659</v>
      </c>
      <c r="I417" s="96">
        <v>343659</v>
      </c>
      <c r="J417" s="290" t="s">
        <v>133</v>
      </c>
      <c r="K417" s="358">
        <v>343659</v>
      </c>
      <c r="L417" s="312">
        <f t="shared" si="105"/>
        <v>1</v>
      </c>
      <c r="M417" s="543"/>
    </row>
    <row r="418" spans="1:13" ht="117" hidden="1" customHeight="1" x14ac:dyDescent="0.3">
      <c r="A418" s="37">
        <v>17</v>
      </c>
      <c r="B418" s="260" t="s">
        <v>36</v>
      </c>
      <c r="C418" s="291" t="s">
        <v>586</v>
      </c>
      <c r="D418" s="507"/>
      <c r="E418" s="289" t="s">
        <v>67</v>
      </c>
      <c r="F418" s="96">
        <v>54180</v>
      </c>
      <c r="G418" s="96">
        <v>54180</v>
      </c>
      <c r="H418" s="96">
        <v>54180</v>
      </c>
      <c r="I418" s="96">
        <v>54180</v>
      </c>
      <c r="J418" s="287" t="s">
        <v>587</v>
      </c>
      <c r="K418" s="358">
        <v>54180</v>
      </c>
      <c r="L418" s="312">
        <f t="shared" si="105"/>
        <v>1</v>
      </c>
      <c r="M418" s="543"/>
    </row>
    <row r="419" spans="1:13" ht="104" hidden="1" x14ac:dyDescent="0.3">
      <c r="A419" s="37">
        <v>18</v>
      </c>
      <c r="B419" s="260" t="s">
        <v>36</v>
      </c>
      <c r="C419" s="291" t="s">
        <v>588</v>
      </c>
      <c r="D419" s="504"/>
      <c r="E419" s="289" t="s">
        <v>66</v>
      </c>
      <c r="F419" s="96">
        <v>896345</v>
      </c>
      <c r="G419" s="96">
        <v>896345</v>
      </c>
      <c r="H419" s="96">
        <v>896345</v>
      </c>
      <c r="I419" s="96">
        <v>896345</v>
      </c>
      <c r="J419" s="287" t="s">
        <v>589</v>
      </c>
      <c r="K419" s="358">
        <v>6983262</v>
      </c>
      <c r="L419" s="312">
        <f t="shared" si="105"/>
        <v>0.12835620373401427</v>
      </c>
      <c r="M419" s="543"/>
    </row>
    <row r="420" spans="1:13" ht="49.5" hidden="1" customHeight="1" x14ac:dyDescent="0.3">
      <c r="A420" s="547">
        <v>19</v>
      </c>
      <c r="B420" s="550" t="s">
        <v>36</v>
      </c>
      <c r="C420" s="532" t="s">
        <v>590</v>
      </c>
      <c r="D420" s="282" t="s">
        <v>554</v>
      </c>
      <c r="E420" s="306" t="s">
        <v>65</v>
      </c>
      <c r="F420" s="96">
        <v>44758</v>
      </c>
      <c r="G420" s="96">
        <v>44758</v>
      </c>
      <c r="H420" s="96">
        <v>44758</v>
      </c>
      <c r="I420" s="96">
        <v>44758</v>
      </c>
      <c r="J420" s="285" t="s">
        <v>133</v>
      </c>
      <c r="K420" s="96">
        <v>1267092</v>
      </c>
      <c r="L420" s="361">
        <f>F420/K420</f>
        <v>3.5323401931351472E-2</v>
      </c>
      <c r="M420" s="553"/>
    </row>
    <row r="421" spans="1:13" ht="26.15" hidden="1" customHeight="1" x14ac:dyDescent="0.3">
      <c r="A421" s="548"/>
      <c r="B421" s="551"/>
      <c r="C421" s="534"/>
      <c r="D421" s="289" t="s">
        <v>591</v>
      </c>
      <c r="E421" s="306" t="s">
        <v>65</v>
      </c>
      <c r="F421" s="96">
        <v>82218</v>
      </c>
      <c r="G421" s="96">
        <v>82218</v>
      </c>
      <c r="H421" s="96">
        <v>82218</v>
      </c>
      <c r="I421" s="96">
        <v>82218</v>
      </c>
      <c r="J421" s="288" t="s">
        <v>133</v>
      </c>
      <c r="K421" s="96">
        <v>4805480</v>
      </c>
      <c r="L421" s="361">
        <f t="shared" si="105"/>
        <v>1.7109216977284267E-2</v>
      </c>
      <c r="M421" s="554"/>
    </row>
    <row r="422" spans="1:13" ht="40.5" hidden="1" customHeight="1" x14ac:dyDescent="0.3">
      <c r="A422" s="548"/>
      <c r="B422" s="551"/>
      <c r="C422" s="534"/>
      <c r="D422" s="289" t="s">
        <v>559</v>
      </c>
      <c r="E422" s="306" t="s">
        <v>65</v>
      </c>
      <c r="F422" s="96">
        <v>65310</v>
      </c>
      <c r="G422" s="96">
        <v>65310</v>
      </c>
      <c r="H422" s="96">
        <v>65310</v>
      </c>
      <c r="I422" s="96">
        <v>65310</v>
      </c>
      <c r="J422" s="288" t="s">
        <v>133</v>
      </c>
      <c r="K422" s="96">
        <v>4864237</v>
      </c>
      <c r="L422" s="361">
        <f t="shared" si="105"/>
        <v>1.3426566180883046E-2</v>
      </c>
      <c r="M422" s="554"/>
    </row>
    <row r="423" spans="1:13" ht="42.75" hidden="1" customHeight="1" x14ac:dyDescent="0.3">
      <c r="A423" s="548"/>
      <c r="B423" s="551"/>
      <c r="C423" s="534"/>
      <c r="D423" s="289" t="s">
        <v>562</v>
      </c>
      <c r="E423" s="306" t="s">
        <v>65</v>
      </c>
      <c r="F423" s="96">
        <v>8250</v>
      </c>
      <c r="G423" s="96">
        <v>8250</v>
      </c>
      <c r="H423" s="96">
        <v>8250</v>
      </c>
      <c r="I423" s="96">
        <v>8250</v>
      </c>
      <c r="J423" s="288" t="s">
        <v>133</v>
      </c>
      <c r="K423" s="96">
        <v>400894</v>
      </c>
      <c r="L423" s="361">
        <f t="shared" si="105"/>
        <v>2.0579005921764856E-2</v>
      </c>
      <c r="M423" s="554"/>
    </row>
    <row r="424" spans="1:13" ht="39" hidden="1" customHeight="1" x14ac:dyDescent="0.3">
      <c r="A424" s="548"/>
      <c r="B424" s="551"/>
      <c r="C424" s="534"/>
      <c r="D424" s="289" t="s">
        <v>577</v>
      </c>
      <c r="E424" s="306" t="s">
        <v>65</v>
      </c>
      <c r="F424" s="96">
        <v>180000</v>
      </c>
      <c r="G424" s="96">
        <v>180000</v>
      </c>
      <c r="H424" s="96">
        <v>180000</v>
      </c>
      <c r="I424" s="96">
        <v>180000</v>
      </c>
      <c r="J424" s="288" t="s">
        <v>133</v>
      </c>
      <c r="K424" s="96">
        <v>6694564</v>
      </c>
      <c r="L424" s="361">
        <f t="shared" si="105"/>
        <v>2.6887486623475405E-2</v>
      </c>
      <c r="M424" s="554"/>
    </row>
    <row r="425" spans="1:13" ht="36.75" hidden="1" customHeight="1" x14ac:dyDescent="0.3">
      <c r="A425" s="548"/>
      <c r="B425" s="551"/>
      <c r="C425" s="534"/>
      <c r="D425" s="289" t="s">
        <v>565</v>
      </c>
      <c r="E425" s="306" t="s">
        <v>65</v>
      </c>
      <c r="F425" s="96">
        <v>295264</v>
      </c>
      <c r="G425" s="96">
        <v>295264</v>
      </c>
      <c r="H425" s="96">
        <v>295264</v>
      </c>
      <c r="I425" s="96">
        <v>295264</v>
      </c>
      <c r="J425" s="288" t="s">
        <v>133</v>
      </c>
      <c r="K425" s="96">
        <v>5490528</v>
      </c>
      <c r="L425" s="362">
        <f t="shared" si="105"/>
        <v>5.3776977369025349E-2</v>
      </c>
      <c r="M425" s="554"/>
    </row>
    <row r="426" spans="1:13" ht="26.15" hidden="1" customHeight="1" x14ac:dyDescent="0.3">
      <c r="A426" s="548"/>
      <c r="B426" s="551"/>
      <c r="C426" s="534"/>
      <c r="D426" s="289" t="s">
        <v>568</v>
      </c>
      <c r="E426" s="306" t="s">
        <v>65</v>
      </c>
      <c r="F426" s="96">
        <v>61895</v>
      </c>
      <c r="G426" s="96">
        <v>61895</v>
      </c>
      <c r="H426" s="96">
        <v>61895</v>
      </c>
      <c r="I426" s="96">
        <v>61895</v>
      </c>
      <c r="J426" s="288" t="s">
        <v>133</v>
      </c>
      <c r="K426" s="96">
        <v>3761369</v>
      </c>
      <c r="L426" s="361">
        <f t="shared" si="105"/>
        <v>1.6455444812779604E-2</v>
      </c>
      <c r="M426" s="554"/>
    </row>
    <row r="427" spans="1:13" ht="26.15" hidden="1" customHeight="1" x14ac:dyDescent="0.3">
      <c r="A427" s="549"/>
      <c r="B427" s="552"/>
      <c r="C427" s="533"/>
      <c r="D427" s="289" t="s">
        <v>210</v>
      </c>
      <c r="E427" s="306" t="s">
        <v>65</v>
      </c>
      <c r="F427" s="96">
        <v>347209</v>
      </c>
      <c r="G427" s="96">
        <v>347209</v>
      </c>
      <c r="H427" s="96">
        <v>347209</v>
      </c>
      <c r="I427" s="96">
        <v>347209</v>
      </c>
      <c r="J427" s="288" t="s">
        <v>133</v>
      </c>
      <c r="K427" s="96">
        <v>5767778</v>
      </c>
      <c r="L427" s="361">
        <f t="shared" si="105"/>
        <v>6.0198052005469002E-2</v>
      </c>
      <c r="M427" s="555"/>
    </row>
    <row r="428" spans="1:13" ht="104" hidden="1" x14ac:dyDescent="0.3">
      <c r="A428" s="7">
        <v>20</v>
      </c>
      <c r="B428" s="7" t="s">
        <v>36</v>
      </c>
      <c r="C428" s="211" t="s">
        <v>592</v>
      </c>
      <c r="D428" s="292" t="s">
        <v>593</v>
      </c>
      <c r="E428" s="284" t="s">
        <v>170</v>
      </c>
      <c r="F428" s="96">
        <v>900000</v>
      </c>
      <c r="G428" s="96">
        <v>900000</v>
      </c>
      <c r="H428" s="96">
        <v>900000</v>
      </c>
      <c r="I428" s="96">
        <v>900000</v>
      </c>
      <c r="J428" s="209"/>
      <c r="K428" s="308">
        <v>25428532</v>
      </c>
      <c r="L428" s="361">
        <f t="shared" si="105"/>
        <v>3.5393313306485798E-2</v>
      </c>
      <c r="M428" s="294"/>
    </row>
    <row r="429" spans="1:13" x14ac:dyDescent="0.3">
      <c r="A429" s="457" t="s">
        <v>594</v>
      </c>
      <c r="B429" s="458"/>
      <c r="C429" s="458"/>
      <c r="D429" s="458"/>
      <c r="E429" s="459"/>
      <c r="F429" s="39">
        <f>SUM(F433:F435)</f>
        <v>7642495</v>
      </c>
      <c r="G429" s="39">
        <f t="shared" ref="G429:I429" si="112">SUM(G433:G435)</f>
        <v>7642495</v>
      </c>
      <c r="H429" s="39">
        <f t="shared" si="112"/>
        <v>7642495</v>
      </c>
      <c r="I429" s="39">
        <f t="shared" si="112"/>
        <v>7642495</v>
      </c>
      <c r="J429" s="141"/>
      <c r="K429" s="341"/>
      <c r="L429" s="342"/>
      <c r="M429" s="142"/>
    </row>
    <row r="430" spans="1:13" x14ac:dyDescent="0.3">
      <c r="A430" s="460" t="s">
        <v>90</v>
      </c>
      <c r="B430" s="461"/>
      <c r="C430" s="461"/>
      <c r="D430" s="461"/>
      <c r="E430" s="462"/>
      <c r="F430" s="99">
        <v>7642495.0595327485</v>
      </c>
      <c r="G430" s="86"/>
      <c r="H430" s="86"/>
      <c r="I430" s="86"/>
      <c r="J430" s="143"/>
      <c r="K430" s="343"/>
      <c r="L430" s="344"/>
      <c r="M430" s="144"/>
    </row>
    <row r="431" spans="1:13" x14ac:dyDescent="0.3">
      <c r="A431" s="463" t="s">
        <v>91</v>
      </c>
      <c r="B431" s="464"/>
      <c r="C431" s="464"/>
      <c r="D431" s="464"/>
      <c r="E431" s="465"/>
      <c r="F431" s="44">
        <f>F430-F429</f>
        <v>5.9532748535275459E-2</v>
      </c>
      <c r="G431" s="87"/>
      <c r="H431" s="87"/>
      <c r="I431" s="87"/>
      <c r="J431" s="143"/>
      <c r="K431" s="343"/>
      <c r="L431" s="344"/>
      <c r="M431" s="144"/>
    </row>
    <row r="432" spans="1:13" x14ac:dyDescent="0.3">
      <c r="A432" s="475" t="s">
        <v>67</v>
      </c>
      <c r="B432" s="476"/>
      <c r="C432" s="476"/>
      <c r="D432" s="476"/>
      <c r="E432" s="477"/>
      <c r="F432" s="376">
        <f>F433+F434+F435</f>
        <v>7642495</v>
      </c>
      <c r="G432" s="376">
        <f t="shared" ref="G432:I432" si="113">G433+G434+G435</f>
        <v>7642495</v>
      </c>
      <c r="H432" s="376">
        <f t="shared" si="113"/>
        <v>7642495</v>
      </c>
      <c r="I432" s="376">
        <f t="shared" si="113"/>
        <v>7642495</v>
      </c>
      <c r="J432" s="327"/>
      <c r="K432" s="372"/>
      <c r="L432" s="373"/>
      <c r="M432" s="366"/>
    </row>
    <row r="433" spans="1:13" ht="26" hidden="1" x14ac:dyDescent="0.3">
      <c r="A433" s="7">
        <v>1</v>
      </c>
      <c r="B433" s="7" t="s">
        <v>595</v>
      </c>
      <c r="C433" s="50" t="s">
        <v>596</v>
      </c>
      <c r="D433" s="10" t="s">
        <v>597</v>
      </c>
      <c r="E433" s="5" t="s">
        <v>67</v>
      </c>
      <c r="F433" s="20">
        <f>351816+64</f>
        <v>351880</v>
      </c>
      <c r="G433" s="20">
        <f t="shared" ref="G433:I433" si="114">351816+64</f>
        <v>351880</v>
      </c>
      <c r="H433" s="20">
        <f t="shared" si="114"/>
        <v>351880</v>
      </c>
      <c r="I433" s="20">
        <f t="shared" si="114"/>
        <v>351880</v>
      </c>
      <c r="J433" s="10"/>
      <c r="K433" s="308">
        <v>4150551</v>
      </c>
      <c r="L433" s="309">
        <f t="shared" si="105"/>
        <v>8.4779105232052329E-2</v>
      </c>
      <c r="M433" s="5"/>
    </row>
    <row r="434" spans="1:13" ht="26" hidden="1" x14ac:dyDescent="0.3">
      <c r="A434" s="7">
        <v>2</v>
      </c>
      <c r="B434" s="7" t="s">
        <v>595</v>
      </c>
      <c r="C434" s="5" t="s">
        <v>598</v>
      </c>
      <c r="D434" s="5" t="s">
        <v>599</v>
      </c>
      <c r="E434" s="5" t="s">
        <v>67</v>
      </c>
      <c r="F434" s="20">
        <v>6642417</v>
      </c>
      <c r="G434" s="20">
        <f>6642417+648198</f>
        <v>7290615</v>
      </c>
      <c r="H434" s="20">
        <f t="shared" ref="H434:I434" si="115">6642417+648198</f>
        <v>7290615</v>
      </c>
      <c r="I434" s="20">
        <f t="shared" si="115"/>
        <v>7290615</v>
      </c>
      <c r="J434" s="10"/>
      <c r="K434" s="308">
        <v>76948256</v>
      </c>
      <c r="L434" s="309">
        <f t="shared" si="105"/>
        <v>8.6323165011043271E-2</v>
      </c>
      <c r="M434" s="5"/>
    </row>
    <row r="435" spans="1:13" ht="39" hidden="1" x14ac:dyDescent="0.3">
      <c r="A435" s="235">
        <v>3</v>
      </c>
      <c r="B435" s="235" t="s">
        <v>595</v>
      </c>
      <c r="C435" s="45" t="s">
        <v>600</v>
      </c>
      <c r="D435" s="45" t="s">
        <v>601</v>
      </c>
      <c r="E435" s="45" t="s">
        <v>67</v>
      </c>
      <c r="F435" s="129">
        <v>648198</v>
      </c>
      <c r="G435" s="129"/>
      <c r="H435" s="129"/>
      <c r="I435" s="129"/>
      <c r="J435" s="104"/>
      <c r="K435" s="330">
        <v>7500000</v>
      </c>
      <c r="L435" s="331">
        <f t="shared" si="105"/>
        <v>8.64264E-2</v>
      </c>
      <c r="M435" s="45"/>
    </row>
    <row r="436" spans="1:13" ht="13" customHeight="1" x14ac:dyDescent="0.3">
      <c r="A436" s="457"/>
      <c r="B436" s="458"/>
      <c r="C436" s="458"/>
      <c r="D436" s="458"/>
      <c r="E436" s="459"/>
      <c r="F436" s="39"/>
      <c r="G436" s="39"/>
      <c r="H436" s="39"/>
      <c r="I436" s="39"/>
      <c r="J436" s="141"/>
      <c r="K436" s="226"/>
      <c r="L436" s="220"/>
      <c r="M436" s="142"/>
    </row>
    <row r="437" spans="1:13" x14ac:dyDescent="0.3">
      <c r="A437" s="255"/>
      <c r="B437" s="255"/>
      <c r="C437" s="261"/>
      <c r="D437" s="260"/>
      <c r="E437" s="260"/>
      <c r="F437" s="260"/>
      <c r="G437" s="260"/>
      <c r="H437" s="260"/>
      <c r="I437" s="260"/>
      <c r="J437" s="260"/>
      <c r="K437" s="260"/>
      <c r="L437" s="260"/>
      <c r="M437" s="260"/>
    </row>
    <row r="438" spans="1:13" x14ac:dyDescent="0.3">
      <c r="A438" s="255"/>
      <c r="B438" s="255"/>
      <c r="C438" s="256"/>
      <c r="D438" s="256"/>
      <c r="E438" s="256"/>
      <c r="F438" s="257"/>
      <c r="G438" s="257"/>
      <c r="H438" s="257"/>
      <c r="I438" s="257"/>
      <c r="J438" s="258"/>
      <c r="K438" s="259"/>
      <c r="L438" s="255"/>
      <c r="M438" s="258"/>
    </row>
    <row r="439" spans="1:13" x14ac:dyDescent="0.3">
      <c r="A439" s="255"/>
      <c r="B439" s="255"/>
      <c r="C439" s="256"/>
      <c r="D439" s="256"/>
      <c r="E439" s="256"/>
      <c r="F439" s="257"/>
      <c r="G439" s="257"/>
      <c r="H439" s="257"/>
      <c r="I439" s="257"/>
      <c r="J439" s="258"/>
      <c r="K439" s="259"/>
      <c r="L439" s="255"/>
      <c r="M439" s="258"/>
    </row>
    <row r="440" spans="1:13" x14ac:dyDescent="0.3">
      <c r="F440" s="101"/>
      <c r="G440" s="101"/>
      <c r="H440" s="101"/>
      <c r="I440" s="101"/>
    </row>
    <row r="441" spans="1:13" x14ac:dyDescent="0.3">
      <c r="F441" s="101"/>
      <c r="G441" s="101"/>
      <c r="H441" s="101"/>
      <c r="I441" s="101"/>
    </row>
    <row r="442" spans="1:13" x14ac:dyDescent="0.3">
      <c r="F442" s="101"/>
      <c r="G442" s="101"/>
      <c r="H442" s="101"/>
      <c r="I442" s="101"/>
    </row>
    <row r="443" spans="1:13" x14ac:dyDescent="0.3">
      <c r="F443" s="101"/>
      <c r="G443" s="101"/>
      <c r="H443" s="101"/>
      <c r="I443" s="101"/>
    </row>
    <row r="444" spans="1:13" x14ac:dyDescent="0.3">
      <c r="F444" s="101"/>
      <c r="G444" s="101"/>
      <c r="H444" s="101"/>
      <c r="I444" s="101"/>
    </row>
    <row r="445" spans="1:13" x14ac:dyDescent="0.3">
      <c r="F445" s="101"/>
      <c r="G445" s="101"/>
      <c r="H445" s="101"/>
      <c r="I445" s="101"/>
    </row>
    <row r="446" spans="1:13" x14ac:dyDescent="0.3">
      <c r="F446" s="101"/>
      <c r="G446" s="101"/>
      <c r="H446" s="101"/>
      <c r="I446" s="101"/>
    </row>
    <row r="447" spans="1:13" x14ac:dyDescent="0.3">
      <c r="F447" s="101"/>
      <c r="G447" s="101"/>
      <c r="H447" s="101"/>
      <c r="I447" s="101"/>
    </row>
    <row r="448" spans="1:13" x14ac:dyDescent="0.3">
      <c r="F448" s="101"/>
      <c r="G448" s="101"/>
      <c r="H448" s="101"/>
      <c r="I448" s="101"/>
    </row>
    <row r="449" spans="1:18" x14ac:dyDescent="0.3">
      <c r="F449" s="101"/>
      <c r="G449" s="101"/>
      <c r="H449" s="101"/>
      <c r="I449" s="101"/>
    </row>
    <row r="450" spans="1:18" x14ac:dyDescent="0.3">
      <c r="F450" s="101"/>
      <c r="G450" s="101"/>
      <c r="H450" s="101"/>
      <c r="I450" s="101"/>
    </row>
    <row r="451" spans="1:18" x14ac:dyDescent="0.3">
      <c r="F451" s="101"/>
      <c r="G451" s="101"/>
      <c r="H451" s="101"/>
      <c r="I451" s="101"/>
    </row>
    <row r="452" spans="1:18" x14ac:dyDescent="0.3">
      <c r="F452" s="101"/>
      <c r="G452" s="101"/>
      <c r="H452" s="101"/>
      <c r="I452" s="101"/>
    </row>
    <row r="453" spans="1:18" x14ac:dyDescent="0.3">
      <c r="F453" s="101"/>
      <c r="G453" s="101"/>
      <c r="H453" s="101"/>
      <c r="I453" s="101"/>
    </row>
    <row r="454" spans="1:18" x14ac:dyDescent="0.3">
      <c r="F454" s="101"/>
      <c r="G454" s="101"/>
      <c r="H454" s="101"/>
      <c r="I454" s="101"/>
    </row>
    <row r="455" spans="1:18" s="148" customFormat="1" x14ac:dyDescent="0.3">
      <c r="A455" s="38"/>
      <c r="B455" s="38"/>
      <c r="C455" s="23"/>
      <c r="D455" s="23"/>
      <c r="E455" s="23"/>
      <c r="F455" s="101"/>
      <c r="G455" s="101"/>
      <c r="H455" s="101"/>
      <c r="I455" s="101"/>
      <c r="K455" s="228"/>
      <c r="L455" s="38"/>
      <c r="N455" s="23"/>
      <c r="O455" s="23"/>
      <c r="P455" s="23"/>
      <c r="Q455" s="23"/>
      <c r="R455" s="23"/>
    </row>
    <row r="456" spans="1:18" s="148" customFormat="1" x14ac:dyDescent="0.3">
      <c r="A456" s="38"/>
      <c r="B456" s="38"/>
      <c r="C456" s="23"/>
      <c r="D456" s="23"/>
      <c r="E456" s="23"/>
      <c r="F456" s="101"/>
      <c r="G456" s="101"/>
      <c r="H456" s="101"/>
      <c r="I456" s="101"/>
      <c r="K456" s="228"/>
      <c r="L456" s="38"/>
      <c r="N456" s="23"/>
      <c r="O456" s="23"/>
      <c r="P456" s="23"/>
      <c r="Q456" s="23"/>
      <c r="R456" s="23"/>
    </row>
    <row r="457" spans="1:18" s="148" customFormat="1" x14ac:dyDescent="0.3">
      <c r="A457" s="38"/>
      <c r="B457" s="38"/>
      <c r="C457" s="23"/>
      <c r="D457" s="23"/>
      <c r="E457" s="23"/>
      <c r="F457" s="101"/>
      <c r="G457" s="101"/>
      <c r="H457" s="101"/>
      <c r="I457" s="101"/>
      <c r="K457" s="228"/>
      <c r="L457" s="38"/>
      <c r="N457" s="23"/>
      <c r="O457" s="23"/>
      <c r="P457" s="23"/>
      <c r="Q457" s="23"/>
      <c r="R457" s="23"/>
    </row>
    <row r="458" spans="1:18" s="148" customFormat="1" x14ac:dyDescent="0.3">
      <c r="A458" s="38"/>
      <c r="B458" s="38"/>
      <c r="C458" s="23"/>
      <c r="D458" s="23"/>
      <c r="E458" s="23"/>
      <c r="F458" s="101"/>
      <c r="G458" s="101"/>
      <c r="H458" s="101"/>
      <c r="I458" s="101"/>
      <c r="K458" s="228"/>
      <c r="L458" s="38"/>
      <c r="N458" s="23"/>
      <c r="O458" s="23"/>
      <c r="P458" s="23"/>
      <c r="Q458" s="23"/>
      <c r="R458" s="23"/>
    </row>
    <row r="459" spans="1:18" s="148" customFormat="1" x14ac:dyDescent="0.3">
      <c r="A459" s="38"/>
      <c r="B459" s="38"/>
      <c r="C459" s="23"/>
      <c r="D459" s="23"/>
      <c r="E459" s="23"/>
      <c r="F459" s="101"/>
      <c r="G459" s="101"/>
      <c r="H459" s="101"/>
      <c r="I459" s="101"/>
      <c r="K459" s="228"/>
      <c r="L459" s="38"/>
      <c r="N459" s="23"/>
      <c r="O459" s="23"/>
      <c r="P459" s="23"/>
      <c r="Q459" s="23"/>
      <c r="R459" s="23"/>
    </row>
    <row r="460" spans="1:18" s="148" customFormat="1" x14ac:dyDescent="0.3">
      <c r="A460" s="38"/>
      <c r="B460" s="38"/>
      <c r="C460" s="23"/>
      <c r="D460" s="23"/>
      <c r="E460" s="23"/>
      <c r="F460" s="101"/>
      <c r="G460" s="101"/>
      <c r="H460" s="101"/>
      <c r="I460" s="101"/>
      <c r="K460" s="228"/>
      <c r="L460" s="38"/>
      <c r="N460" s="23"/>
      <c r="O460" s="23"/>
      <c r="P460" s="23"/>
      <c r="Q460" s="23"/>
      <c r="R460" s="23"/>
    </row>
    <row r="461" spans="1:18" s="148" customFormat="1" x14ac:dyDescent="0.3">
      <c r="A461" s="38"/>
      <c r="B461" s="38"/>
      <c r="C461" s="23"/>
      <c r="D461" s="23"/>
      <c r="E461" s="23"/>
      <c r="F461" s="101"/>
      <c r="G461" s="101"/>
      <c r="H461" s="101"/>
      <c r="I461" s="101"/>
      <c r="K461" s="228"/>
      <c r="L461" s="38"/>
      <c r="N461" s="23"/>
      <c r="O461" s="23"/>
      <c r="P461" s="23"/>
      <c r="Q461" s="23"/>
      <c r="R461" s="23"/>
    </row>
    <row r="462" spans="1:18" s="148" customFormat="1" x14ac:dyDescent="0.3">
      <c r="A462" s="38"/>
      <c r="B462" s="38"/>
      <c r="C462" s="23"/>
      <c r="D462" s="23"/>
      <c r="E462" s="23"/>
      <c r="F462" s="101"/>
      <c r="G462" s="101"/>
      <c r="H462" s="101"/>
      <c r="I462" s="101"/>
      <c r="K462" s="228"/>
      <c r="L462" s="38"/>
      <c r="N462" s="23"/>
      <c r="O462" s="23"/>
      <c r="P462" s="23"/>
      <c r="Q462" s="23"/>
      <c r="R462" s="23"/>
    </row>
    <row r="463" spans="1:18" s="148" customFormat="1" x14ac:dyDescent="0.3">
      <c r="A463" s="38"/>
      <c r="B463" s="38"/>
      <c r="C463" s="23"/>
      <c r="D463" s="23"/>
      <c r="E463" s="23"/>
      <c r="F463" s="101"/>
      <c r="G463" s="101"/>
      <c r="H463" s="101"/>
      <c r="I463" s="101"/>
      <c r="K463" s="228"/>
      <c r="L463" s="38"/>
      <c r="N463" s="23"/>
      <c r="O463" s="23"/>
      <c r="P463" s="23"/>
      <c r="Q463" s="23"/>
      <c r="R463" s="23"/>
    </row>
    <row r="464" spans="1:18" s="148" customFormat="1" x14ac:dyDescent="0.3">
      <c r="A464" s="38"/>
      <c r="B464" s="38"/>
      <c r="C464" s="23"/>
      <c r="D464" s="23"/>
      <c r="E464" s="23"/>
      <c r="F464" s="101"/>
      <c r="G464" s="101"/>
      <c r="H464" s="101"/>
      <c r="I464" s="101"/>
      <c r="K464" s="228"/>
      <c r="L464" s="38"/>
      <c r="N464" s="23"/>
      <c r="O464" s="23"/>
      <c r="P464" s="23"/>
      <c r="Q464" s="23"/>
      <c r="R464" s="23"/>
    </row>
    <row r="465" spans="1:18" s="148" customFormat="1" x14ac:dyDescent="0.3">
      <c r="A465" s="38"/>
      <c r="B465" s="38"/>
      <c r="C465" s="23"/>
      <c r="D465" s="23"/>
      <c r="E465" s="23"/>
      <c r="F465" s="101"/>
      <c r="G465" s="101"/>
      <c r="H465" s="101"/>
      <c r="I465" s="101"/>
      <c r="K465" s="228"/>
      <c r="L465" s="38"/>
      <c r="N465" s="23"/>
      <c r="O465" s="23"/>
      <c r="P465" s="23"/>
      <c r="Q465" s="23"/>
      <c r="R465" s="23"/>
    </row>
    <row r="466" spans="1:18" s="148" customFormat="1" x14ac:dyDescent="0.3">
      <c r="A466" s="38"/>
      <c r="B466" s="38"/>
      <c r="C466" s="23"/>
      <c r="D466" s="23"/>
      <c r="E466" s="23"/>
      <c r="F466" s="101"/>
      <c r="G466" s="101"/>
      <c r="H466" s="101"/>
      <c r="I466" s="101"/>
      <c r="K466" s="228"/>
      <c r="L466" s="38"/>
      <c r="N466" s="23"/>
      <c r="O466" s="23"/>
      <c r="P466" s="23"/>
      <c r="Q466" s="23"/>
      <c r="R466" s="23"/>
    </row>
    <row r="467" spans="1:18" s="148" customFormat="1" x14ac:dyDescent="0.3">
      <c r="A467" s="38"/>
      <c r="B467" s="38"/>
      <c r="C467" s="23"/>
      <c r="D467" s="23"/>
      <c r="E467" s="23"/>
      <c r="F467" s="101"/>
      <c r="G467" s="101"/>
      <c r="H467" s="101"/>
      <c r="I467" s="101"/>
      <c r="K467" s="228"/>
      <c r="L467" s="38"/>
      <c r="N467" s="23"/>
      <c r="O467" s="23"/>
      <c r="P467" s="23"/>
      <c r="Q467" s="23"/>
      <c r="R467" s="23"/>
    </row>
    <row r="468" spans="1:18" s="148" customFormat="1" x14ac:dyDescent="0.3">
      <c r="A468" s="38"/>
      <c r="B468" s="38"/>
      <c r="C468" s="23"/>
      <c r="D468" s="23"/>
      <c r="E468" s="23"/>
      <c r="F468" s="101"/>
      <c r="G468" s="101"/>
      <c r="H468" s="101"/>
      <c r="I468" s="101"/>
      <c r="K468" s="228"/>
      <c r="L468" s="38"/>
      <c r="N468" s="23"/>
      <c r="O468" s="23"/>
      <c r="P468" s="23"/>
      <c r="Q468" s="23"/>
      <c r="R468" s="23"/>
    </row>
    <row r="469" spans="1:18" s="148" customFormat="1" x14ac:dyDescent="0.3">
      <c r="A469" s="38"/>
      <c r="B469" s="38"/>
      <c r="C469" s="23"/>
      <c r="D469" s="23"/>
      <c r="E469" s="23"/>
      <c r="F469" s="101"/>
      <c r="G469" s="101"/>
      <c r="H469" s="101"/>
      <c r="I469" s="101"/>
      <c r="K469" s="228"/>
      <c r="L469" s="38"/>
      <c r="N469" s="23"/>
      <c r="O469" s="23"/>
      <c r="P469" s="23"/>
      <c r="Q469" s="23"/>
      <c r="R469" s="23"/>
    </row>
    <row r="470" spans="1:18" s="148" customFormat="1" x14ac:dyDescent="0.3">
      <c r="A470" s="38"/>
      <c r="B470" s="38"/>
      <c r="C470" s="23"/>
      <c r="D470" s="23"/>
      <c r="E470" s="23"/>
      <c r="F470" s="101"/>
      <c r="G470" s="101"/>
      <c r="H470" s="101"/>
      <c r="I470" s="101"/>
      <c r="K470" s="228"/>
      <c r="L470" s="38"/>
      <c r="N470" s="23"/>
      <c r="O470" s="23"/>
      <c r="P470" s="23"/>
      <c r="Q470" s="23"/>
      <c r="R470" s="23"/>
    </row>
    <row r="471" spans="1:18" s="148" customFormat="1" x14ac:dyDescent="0.3">
      <c r="A471" s="38"/>
      <c r="B471" s="38"/>
      <c r="C471" s="23"/>
      <c r="D471" s="23"/>
      <c r="E471" s="23"/>
      <c r="F471" s="101"/>
      <c r="G471" s="101"/>
      <c r="H471" s="101"/>
      <c r="I471" s="101"/>
      <c r="K471" s="228"/>
      <c r="L471" s="38"/>
      <c r="N471" s="23"/>
      <c r="O471" s="23"/>
      <c r="P471" s="23"/>
      <c r="Q471" s="23"/>
      <c r="R471" s="23"/>
    </row>
    <row r="472" spans="1:18" s="148" customFormat="1" x14ac:dyDescent="0.3">
      <c r="A472" s="38"/>
      <c r="B472" s="38"/>
      <c r="C472" s="23"/>
      <c r="D472" s="23"/>
      <c r="E472" s="23"/>
      <c r="F472" s="101"/>
      <c r="G472" s="101"/>
      <c r="H472" s="101"/>
      <c r="I472" s="101"/>
      <c r="K472" s="228"/>
      <c r="L472" s="38"/>
      <c r="N472" s="23"/>
      <c r="O472" s="23"/>
      <c r="P472" s="23"/>
      <c r="Q472" s="23"/>
      <c r="R472" s="23"/>
    </row>
    <row r="473" spans="1:18" s="148" customFormat="1" x14ac:dyDescent="0.3">
      <c r="A473" s="38"/>
      <c r="B473" s="38"/>
      <c r="C473" s="23"/>
      <c r="D473" s="23"/>
      <c r="E473" s="23"/>
      <c r="F473" s="101"/>
      <c r="G473" s="101"/>
      <c r="H473" s="101"/>
      <c r="I473" s="101"/>
      <c r="K473" s="228"/>
      <c r="L473" s="38"/>
      <c r="N473" s="23"/>
      <c r="O473" s="23"/>
      <c r="P473" s="23"/>
      <c r="Q473" s="23"/>
      <c r="R473" s="23"/>
    </row>
    <row r="474" spans="1:18" s="148" customFormat="1" x14ac:dyDescent="0.3">
      <c r="A474" s="38"/>
      <c r="B474" s="38"/>
      <c r="C474" s="23"/>
      <c r="D474" s="23"/>
      <c r="E474" s="23"/>
      <c r="F474" s="101"/>
      <c r="G474" s="101"/>
      <c r="H474" s="101"/>
      <c r="I474" s="101"/>
      <c r="K474" s="228"/>
      <c r="L474" s="38"/>
      <c r="N474" s="23"/>
      <c r="O474" s="23"/>
      <c r="P474" s="23"/>
      <c r="Q474" s="23"/>
      <c r="R474" s="23"/>
    </row>
    <row r="475" spans="1:18" s="148" customFormat="1" x14ac:dyDescent="0.3">
      <c r="A475" s="38"/>
      <c r="B475" s="38"/>
      <c r="C475" s="23"/>
      <c r="D475" s="23"/>
      <c r="E475" s="23"/>
      <c r="F475" s="101"/>
      <c r="G475" s="101"/>
      <c r="H475" s="101"/>
      <c r="I475" s="101"/>
      <c r="K475" s="228"/>
      <c r="L475" s="38"/>
      <c r="N475" s="23"/>
      <c r="O475" s="23"/>
      <c r="P475" s="23"/>
      <c r="Q475" s="23"/>
      <c r="R475" s="23"/>
    </row>
    <row r="476" spans="1:18" s="148" customFormat="1" x14ac:dyDescent="0.3">
      <c r="A476" s="38"/>
      <c r="B476" s="38"/>
      <c r="C476" s="23"/>
      <c r="D476" s="23"/>
      <c r="E476" s="23"/>
      <c r="F476" s="101"/>
      <c r="G476" s="101"/>
      <c r="H476" s="101"/>
      <c r="I476" s="101"/>
      <c r="K476" s="228"/>
      <c r="L476" s="38"/>
      <c r="N476" s="23"/>
      <c r="O476" s="23"/>
      <c r="P476" s="23"/>
      <c r="Q476" s="23"/>
      <c r="R476" s="23"/>
    </row>
    <row r="477" spans="1:18" s="148" customFormat="1" x14ac:dyDescent="0.3">
      <c r="A477" s="38"/>
      <c r="B477" s="38"/>
      <c r="C477" s="23"/>
      <c r="D477" s="23"/>
      <c r="E477" s="23"/>
      <c r="F477" s="101"/>
      <c r="G477" s="101"/>
      <c r="H477" s="101"/>
      <c r="I477" s="101"/>
      <c r="K477" s="228"/>
      <c r="L477" s="38"/>
      <c r="N477" s="23"/>
      <c r="O477" s="23"/>
      <c r="P477" s="23"/>
      <c r="Q477" s="23"/>
      <c r="R477" s="23"/>
    </row>
    <row r="478" spans="1:18" s="148" customFormat="1" x14ac:dyDescent="0.3">
      <c r="A478" s="38"/>
      <c r="B478" s="38"/>
      <c r="C478" s="23"/>
      <c r="D478" s="23"/>
      <c r="E478" s="23"/>
      <c r="F478" s="101"/>
      <c r="G478" s="101"/>
      <c r="H478" s="101"/>
      <c r="I478" s="101"/>
      <c r="K478" s="228"/>
      <c r="L478" s="38"/>
      <c r="N478" s="23"/>
      <c r="O478" s="23"/>
      <c r="P478" s="23"/>
      <c r="Q478" s="23"/>
      <c r="R478" s="23"/>
    </row>
    <row r="479" spans="1:18" s="148" customFormat="1" x14ac:dyDescent="0.3">
      <c r="A479" s="38"/>
      <c r="B479" s="38"/>
      <c r="C479" s="23"/>
      <c r="D479" s="23"/>
      <c r="E479" s="23"/>
      <c r="F479" s="101"/>
      <c r="G479" s="101"/>
      <c r="H479" s="101"/>
      <c r="I479" s="101"/>
      <c r="K479" s="228"/>
      <c r="L479" s="38"/>
      <c r="N479" s="23"/>
      <c r="O479" s="23"/>
      <c r="P479" s="23"/>
      <c r="Q479" s="23"/>
      <c r="R479" s="23"/>
    </row>
    <row r="480" spans="1:18" s="148" customFormat="1" x14ac:dyDescent="0.3">
      <c r="A480" s="38"/>
      <c r="B480" s="38"/>
      <c r="C480" s="23"/>
      <c r="D480" s="23"/>
      <c r="E480" s="23"/>
      <c r="F480" s="101"/>
      <c r="G480" s="101"/>
      <c r="H480" s="101"/>
      <c r="I480" s="101"/>
      <c r="K480" s="228"/>
      <c r="L480" s="38"/>
      <c r="N480" s="23"/>
      <c r="O480" s="23"/>
      <c r="P480" s="23"/>
      <c r="Q480" s="23"/>
      <c r="R480" s="23"/>
    </row>
    <row r="481" spans="1:18" s="148" customFormat="1" x14ac:dyDescent="0.3">
      <c r="A481" s="38"/>
      <c r="B481" s="38"/>
      <c r="C481" s="23"/>
      <c r="D481" s="23"/>
      <c r="E481" s="23"/>
      <c r="F481" s="101"/>
      <c r="G481" s="101"/>
      <c r="H481" s="101"/>
      <c r="I481" s="101"/>
      <c r="K481" s="228"/>
      <c r="L481" s="38"/>
      <c r="N481" s="23"/>
      <c r="O481" s="23"/>
      <c r="P481" s="23"/>
      <c r="Q481" s="23"/>
      <c r="R481" s="23"/>
    </row>
    <row r="482" spans="1:18" s="148" customFormat="1" x14ac:dyDescent="0.3">
      <c r="A482" s="38"/>
      <c r="B482" s="38"/>
      <c r="C482" s="23"/>
      <c r="D482" s="23"/>
      <c r="E482" s="23"/>
      <c r="F482" s="101"/>
      <c r="G482" s="101"/>
      <c r="H482" s="101"/>
      <c r="I482" s="101"/>
      <c r="K482" s="228"/>
      <c r="L482" s="38"/>
      <c r="N482" s="23"/>
      <c r="O482" s="23"/>
      <c r="P482" s="23"/>
      <c r="Q482" s="23"/>
      <c r="R482" s="23"/>
    </row>
    <row r="483" spans="1:18" s="148" customFormat="1" x14ac:dyDescent="0.3">
      <c r="A483" s="38"/>
      <c r="B483" s="38"/>
      <c r="C483" s="23"/>
      <c r="D483" s="23"/>
      <c r="E483" s="23"/>
      <c r="F483" s="101"/>
      <c r="G483" s="101"/>
      <c r="H483" s="101"/>
      <c r="I483" s="101"/>
      <c r="K483" s="228"/>
      <c r="L483" s="38"/>
      <c r="N483" s="23"/>
      <c r="O483" s="23"/>
      <c r="P483" s="23"/>
      <c r="Q483" s="23"/>
      <c r="R483" s="23"/>
    </row>
    <row r="484" spans="1:18" s="148" customFormat="1" x14ac:dyDescent="0.3">
      <c r="A484" s="38"/>
      <c r="B484" s="38"/>
      <c r="C484" s="23"/>
      <c r="D484" s="23"/>
      <c r="E484" s="23"/>
      <c r="F484" s="101"/>
      <c r="G484" s="101"/>
      <c r="H484" s="101"/>
      <c r="I484" s="101"/>
      <c r="K484" s="228"/>
      <c r="L484" s="38"/>
      <c r="N484" s="23"/>
      <c r="O484" s="23"/>
      <c r="P484" s="23"/>
      <c r="Q484" s="23"/>
      <c r="R484" s="23"/>
    </row>
    <row r="485" spans="1:18" s="148" customFormat="1" x14ac:dyDescent="0.3">
      <c r="A485" s="38"/>
      <c r="B485" s="38"/>
      <c r="C485" s="23"/>
      <c r="D485" s="23"/>
      <c r="E485" s="23"/>
      <c r="F485" s="101"/>
      <c r="G485" s="101"/>
      <c r="H485" s="101"/>
      <c r="I485" s="101"/>
      <c r="K485" s="228"/>
      <c r="L485" s="38"/>
      <c r="N485" s="23"/>
      <c r="O485" s="23"/>
      <c r="P485" s="23"/>
      <c r="Q485" s="23"/>
      <c r="R485" s="23"/>
    </row>
    <row r="486" spans="1:18" s="148" customFormat="1" x14ac:dyDescent="0.3">
      <c r="A486" s="38"/>
      <c r="B486" s="38"/>
      <c r="C486" s="23"/>
      <c r="D486" s="23"/>
      <c r="E486" s="23"/>
      <c r="F486" s="101"/>
      <c r="G486" s="101"/>
      <c r="H486" s="101"/>
      <c r="I486" s="101"/>
      <c r="K486" s="228"/>
      <c r="L486" s="38"/>
      <c r="N486" s="23"/>
      <c r="O486" s="23"/>
      <c r="P486" s="23"/>
      <c r="Q486" s="23"/>
      <c r="R486" s="23"/>
    </row>
    <row r="487" spans="1:18" s="148" customFormat="1" x14ac:dyDescent="0.3">
      <c r="A487" s="38"/>
      <c r="B487" s="38"/>
      <c r="C487" s="23"/>
      <c r="D487" s="23"/>
      <c r="E487" s="23"/>
      <c r="F487" s="101"/>
      <c r="G487" s="101"/>
      <c r="H487" s="101"/>
      <c r="I487" s="101"/>
      <c r="K487" s="228"/>
      <c r="L487" s="38"/>
      <c r="N487" s="23"/>
      <c r="O487" s="23"/>
      <c r="P487" s="23"/>
      <c r="Q487" s="23"/>
      <c r="R487" s="23"/>
    </row>
    <row r="488" spans="1:18" s="148" customFormat="1" x14ac:dyDescent="0.3">
      <c r="A488" s="38"/>
      <c r="B488" s="38"/>
      <c r="C488" s="23"/>
      <c r="D488" s="23"/>
      <c r="E488" s="23"/>
      <c r="F488" s="101"/>
      <c r="G488" s="101"/>
      <c r="H488" s="101"/>
      <c r="I488" s="101"/>
      <c r="K488" s="228"/>
      <c r="L488" s="38"/>
      <c r="N488" s="23"/>
      <c r="O488" s="23"/>
      <c r="P488" s="23"/>
      <c r="Q488" s="23"/>
      <c r="R488" s="23"/>
    </row>
    <row r="489" spans="1:18" s="148" customFormat="1" x14ac:dyDescent="0.3">
      <c r="A489" s="38"/>
      <c r="B489" s="38"/>
      <c r="C489" s="23"/>
      <c r="D489" s="23"/>
      <c r="E489" s="23"/>
      <c r="F489" s="101"/>
      <c r="G489" s="101"/>
      <c r="H489" s="101"/>
      <c r="I489" s="101"/>
      <c r="K489" s="228"/>
      <c r="L489" s="38"/>
      <c r="N489" s="23"/>
      <c r="O489" s="23"/>
      <c r="P489" s="23"/>
      <c r="Q489" s="23"/>
      <c r="R489" s="23"/>
    </row>
    <row r="490" spans="1:18" s="148" customFormat="1" x14ac:dyDescent="0.3">
      <c r="A490" s="38"/>
      <c r="B490" s="38"/>
      <c r="C490" s="23"/>
      <c r="D490" s="23"/>
      <c r="E490" s="23"/>
      <c r="F490" s="101"/>
      <c r="G490" s="101"/>
      <c r="H490" s="101"/>
      <c r="I490" s="101"/>
      <c r="K490" s="228"/>
      <c r="L490" s="38"/>
      <c r="N490" s="23"/>
      <c r="O490" s="23"/>
      <c r="P490" s="23"/>
      <c r="Q490" s="23"/>
      <c r="R490" s="23"/>
    </row>
    <row r="491" spans="1:18" s="148" customFormat="1" x14ac:dyDescent="0.3">
      <c r="A491" s="38"/>
      <c r="B491" s="38"/>
      <c r="C491" s="23"/>
      <c r="D491" s="23"/>
      <c r="E491" s="23"/>
      <c r="F491" s="101"/>
      <c r="G491" s="101"/>
      <c r="H491" s="101"/>
      <c r="I491" s="101"/>
      <c r="K491" s="228"/>
      <c r="L491" s="38"/>
      <c r="N491" s="23"/>
      <c r="O491" s="23"/>
      <c r="P491" s="23"/>
      <c r="Q491" s="23"/>
      <c r="R491" s="23"/>
    </row>
    <row r="492" spans="1:18" s="148" customFormat="1" x14ac:dyDescent="0.3">
      <c r="A492" s="38"/>
      <c r="B492" s="38"/>
      <c r="C492" s="23"/>
      <c r="D492" s="23"/>
      <c r="E492" s="23"/>
      <c r="F492" s="101"/>
      <c r="G492" s="101"/>
      <c r="H492" s="101"/>
      <c r="I492" s="101"/>
      <c r="K492" s="228"/>
      <c r="L492" s="38"/>
      <c r="N492" s="23"/>
      <c r="O492" s="23"/>
      <c r="P492" s="23"/>
      <c r="Q492" s="23"/>
      <c r="R492" s="23"/>
    </row>
    <row r="493" spans="1:18" s="148" customFormat="1" x14ac:dyDescent="0.3">
      <c r="A493" s="38"/>
      <c r="B493" s="38"/>
      <c r="C493" s="23"/>
      <c r="D493" s="23"/>
      <c r="E493" s="23"/>
      <c r="F493" s="101"/>
      <c r="G493" s="101"/>
      <c r="H493" s="101"/>
      <c r="I493" s="101"/>
      <c r="K493" s="228"/>
      <c r="L493" s="38"/>
      <c r="N493" s="23"/>
      <c r="O493" s="23"/>
      <c r="P493" s="23"/>
      <c r="Q493" s="23"/>
      <c r="R493" s="23"/>
    </row>
    <row r="494" spans="1:18" s="148" customFormat="1" x14ac:dyDescent="0.3">
      <c r="A494" s="38"/>
      <c r="B494" s="38"/>
      <c r="C494" s="23"/>
      <c r="D494" s="23"/>
      <c r="E494" s="23"/>
      <c r="F494" s="101"/>
      <c r="G494" s="101"/>
      <c r="H494" s="101"/>
      <c r="I494" s="101"/>
      <c r="K494" s="228"/>
      <c r="L494" s="38"/>
      <c r="N494" s="23"/>
      <c r="O494" s="23"/>
      <c r="P494" s="23"/>
      <c r="Q494" s="23"/>
      <c r="R494" s="23"/>
    </row>
    <row r="495" spans="1:18" s="148" customFormat="1" x14ac:dyDescent="0.3">
      <c r="A495" s="38"/>
      <c r="B495" s="38"/>
      <c r="C495" s="23"/>
      <c r="D495" s="23"/>
      <c r="E495" s="23"/>
      <c r="F495" s="101"/>
      <c r="G495" s="101"/>
      <c r="H495" s="101"/>
      <c r="I495" s="101"/>
      <c r="K495" s="228"/>
      <c r="L495" s="38"/>
      <c r="N495" s="23"/>
      <c r="O495" s="23"/>
      <c r="P495" s="23"/>
      <c r="Q495" s="23"/>
      <c r="R495" s="23"/>
    </row>
    <row r="496" spans="1:18" s="148" customFormat="1" x14ac:dyDescent="0.3">
      <c r="A496" s="38"/>
      <c r="B496" s="38"/>
      <c r="C496" s="23"/>
      <c r="D496" s="23"/>
      <c r="E496" s="23"/>
      <c r="F496" s="101"/>
      <c r="G496" s="101"/>
      <c r="H496" s="101"/>
      <c r="I496" s="101"/>
      <c r="K496" s="228"/>
      <c r="L496" s="38"/>
      <c r="N496" s="23"/>
      <c r="O496" s="23"/>
      <c r="P496" s="23"/>
      <c r="Q496" s="23"/>
      <c r="R496" s="23"/>
    </row>
    <row r="497" spans="1:18" s="148" customFormat="1" x14ac:dyDescent="0.3">
      <c r="A497" s="38"/>
      <c r="B497" s="38"/>
      <c r="C497" s="23"/>
      <c r="D497" s="23"/>
      <c r="E497" s="23"/>
      <c r="F497" s="101"/>
      <c r="G497" s="101"/>
      <c r="H497" s="101"/>
      <c r="I497" s="101"/>
      <c r="K497" s="228"/>
      <c r="L497" s="38"/>
      <c r="N497" s="23"/>
      <c r="O497" s="23"/>
      <c r="P497" s="23"/>
      <c r="Q497" s="23"/>
      <c r="R497" s="23"/>
    </row>
    <row r="498" spans="1:18" s="148" customFormat="1" x14ac:dyDescent="0.3">
      <c r="A498" s="38"/>
      <c r="B498" s="38"/>
      <c r="C498" s="23"/>
      <c r="D498" s="23"/>
      <c r="E498" s="23"/>
      <c r="F498" s="101"/>
      <c r="G498" s="101"/>
      <c r="H498" s="101"/>
      <c r="I498" s="101"/>
      <c r="K498" s="228"/>
      <c r="L498" s="38"/>
      <c r="N498" s="23"/>
      <c r="O498" s="23"/>
      <c r="P498" s="23"/>
      <c r="Q498" s="23"/>
      <c r="R498" s="23"/>
    </row>
    <row r="499" spans="1:18" s="148" customFormat="1" x14ac:dyDescent="0.3">
      <c r="A499" s="38"/>
      <c r="B499" s="38"/>
      <c r="C499" s="23"/>
      <c r="D499" s="23"/>
      <c r="E499" s="23"/>
      <c r="F499" s="101"/>
      <c r="G499" s="101"/>
      <c r="H499" s="101"/>
      <c r="I499" s="101"/>
      <c r="K499" s="228"/>
      <c r="L499" s="38"/>
      <c r="N499" s="23"/>
      <c r="O499" s="23"/>
      <c r="P499" s="23"/>
      <c r="Q499" s="23"/>
      <c r="R499" s="23"/>
    </row>
    <row r="500" spans="1:18" s="148" customFormat="1" x14ac:dyDescent="0.3">
      <c r="A500" s="38"/>
      <c r="B500" s="38"/>
      <c r="C500" s="23"/>
      <c r="D500" s="23"/>
      <c r="E500" s="23"/>
      <c r="F500" s="101"/>
      <c r="G500" s="101"/>
      <c r="H500" s="101"/>
      <c r="I500" s="101"/>
      <c r="K500" s="228"/>
      <c r="L500" s="38"/>
      <c r="N500" s="23"/>
      <c r="O500" s="23"/>
      <c r="P500" s="23"/>
      <c r="Q500" s="23"/>
      <c r="R500" s="23"/>
    </row>
    <row r="501" spans="1:18" s="148" customFormat="1" x14ac:dyDescent="0.3">
      <c r="A501" s="38"/>
      <c r="B501" s="38"/>
      <c r="C501" s="23"/>
      <c r="D501" s="23"/>
      <c r="E501" s="23"/>
      <c r="F501" s="101"/>
      <c r="G501" s="101"/>
      <c r="H501" s="101"/>
      <c r="I501" s="101"/>
      <c r="K501" s="228"/>
      <c r="L501" s="38"/>
      <c r="N501" s="23"/>
      <c r="O501" s="23"/>
      <c r="P501" s="23"/>
      <c r="Q501" s="23"/>
      <c r="R501" s="23"/>
    </row>
    <row r="502" spans="1:18" s="148" customFormat="1" x14ac:dyDescent="0.3">
      <c r="A502" s="38"/>
      <c r="B502" s="38"/>
      <c r="C502" s="23"/>
      <c r="D502" s="23"/>
      <c r="E502" s="23"/>
      <c r="F502" s="101"/>
      <c r="G502" s="101"/>
      <c r="H502" s="101"/>
      <c r="I502" s="101"/>
      <c r="K502" s="228"/>
      <c r="L502" s="38"/>
      <c r="N502" s="23"/>
      <c r="O502" s="23"/>
      <c r="P502" s="23"/>
      <c r="Q502" s="23"/>
      <c r="R502" s="23"/>
    </row>
    <row r="503" spans="1:18" s="148" customFormat="1" x14ac:dyDescent="0.3">
      <c r="A503" s="38"/>
      <c r="B503" s="38"/>
      <c r="C503" s="23"/>
      <c r="D503" s="23"/>
      <c r="E503" s="23"/>
      <c r="F503" s="101"/>
      <c r="G503" s="101"/>
      <c r="H503" s="101"/>
      <c r="I503" s="101"/>
      <c r="K503" s="228"/>
      <c r="L503" s="38"/>
      <c r="N503" s="23"/>
      <c r="O503" s="23"/>
      <c r="P503" s="23"/>
      <c r="Q503" s="23"/>
      <c r="R503" s="23"/>
    </row>
    <row r="504" spans="1:18" s="148" customFormat="1" x14ac:dyDescent="0.3">
      <c r="A504" s="38"/>
      <c r="B504" s="38"/>
      <c r="C504" s="23"/>
      <c r="D504" s="23"/>
      <c r="E504" s="23"/>
      <c r="F504" s="101"/>
      <c r="G504" s="101"/>
      <c r="H504" s="101"/>
      <c r="I504" s="101"/>
      <c r="K504" s="228"/>
      <c r="L504" s="38"/>
      <c r="N504" s="23"/>
      <c r="O504" s="23"/>
      <c r="P504" s="23"/>
      <c r="Q504" s="23"/>
      <c r="R504" s="23"/>
    </row>
    <row r="505" spans="1:18" s="148" customFormat="1" x14ac:dyDescent="0.3">
      <c r="A505" s="38"/>
      <c r="B505" s="38"/>
      <c r="C505" s="23"/>
      <c r="D505" s="23"/>
      <c r="E505" s="23"/>
      <c r="F505" s="101"/>
      <c r="G505" s="101"/>
      <c r="H505" s="101"/>
      <c r="I505" s="101"/>
      <c r="K505" s="228"/>
      <c r="L505" s="38"/>
      <c r="N505" s="23"/>
      <c r="O505" s="23"/>
      <c r="P505" s="23"/>
      <c r="Q505" s="23"/>
      <c r="R505" s="23"/>
    </row>
    <row r="506" spans="1:18" s="148" customFormat="1" x14ac:dyDescent="0.3">
      <c r="A506" s="38"/>
      <c r="B506" s="38"/>
      <c r="C506" s="23"/>
      <c r="D506" s="23"/>
      <c r="E506" s="23"/>
      <c r="F506" s="101"/>
      <c r="G506" s="101"/>
      <c r="H506" s="101"/>
      <c r="I506" s="101"/>
      <c r="K506" s="228"/>
      <c r="L506" s="38"/>
      <c r="N506" s="23"/>
      <c r="O506" s="23"/>
      <c r="P506" s="23"/>
      <c r="Q506" s="23"/>
      <c r="R506" s="23"/>
    </row>
    <row r="507" spans="1:18" s="148" customFormat="1" x14ac:dyDescent="0.3">
      <c r="A507" s="38"/>
      <c r="B507" s="38"/>
      <c r="C507" s="23"/>
      <c r="D507" s="23"/>
      <c r="E507" s="23"/>
      <c r="F507" s="101"/>
      <c r="G507" s="101"/>
      <c r="H507" s="101"/>
      <c r="I507" s="101"/>
      <c r="K507" s="228"/>
      <c r="L507" s="38"/>
      <c r="N507" s="23"/>
      <c r="O507" s="23"/>
      <c r="P507" s="23"/>
      <c r="Q507" s="23"/>
      <c r="R507" s="23"/>
    </row>
    <row r="508" spans="1:18" s="148" customFormat="1" x14ac:dyDescent="0.3">
      <c r="A508" s="38"/>
      <c r="B508" s="38"/>
      <c r="C508" s="23"/>
      <c r="D508" s="23"/>
      <c r="E508" s="23"/>
      <c r="F508" s="101"/>
      <c r="G508" s="101"/>
      <c r="H508" s="101"/>
      <c r="I508" s="101"/>
      <c r="K508" s="228"/>
      <c r="L508" s="38"/>
      <c r="N508" s="23"/>
      <c r="O508" s="23"/>
      <c r="P508" s="23"/>
      <c r="Q508" s="23"/>
      <c r="R508" s="23"/>
    </row>
    <row r="509" spans="1:18" s="148" customFormat="1" x14ac:dyDescent="0.3">
      <c r="A509" s="38"/>
      <c r="B509" s="38"/>
      <c r="C509" s="23"/>
      <c r="D509" s="23"/>
      <c r="E509" s="23"/>
      <c r="F509" s="101"/>
      <c r="G509" s="101"/>
      <c r="H509" s="101"/>
      <c r="I509" s="101"/>
      <c r="K509" s="228"/>
      <c r="L509" s="38"/>
      <c r="N509" s="23"/>
      <c r="O509" s="23"/>
      <c r="P509" s="23"/>
      <c r="Q509" s="23"/>
      <c r="R509" s="23"/>
    </row>
    <row r="510" spans="1:18" s="148" customFormat="1" x14ac:dyDescent="0.3">
      <c r="A510" s="38"/>
      <c r="B510" s="38"/>
      <c r="C510" s="23"/>
      <c r="D510" s="23"/>
      <c r="E510" s="23"/>
      <c r="F510" s="101"/>
      <c r="G510" s="101"/>
      <c r="H510" s="101"/>
      <c r="I510" s="101"/>
      <c r="K510" s="228"/>
      <c r="L510" s="38"/>
      <c r="N510" s="23"/>
      <c r="O510" s="23"/>
      <c r="P510" s="23"/>
      <c r="Q510" s="23"/>
      <c r="R510" s="23"/>
    </row>
    <row r="511" spans="1:18" s="148" customFormat="1" x14ac:dyDescent="0.3">
      <c r="A511" s="38"/>
      <c r="B511" s="38"/>
      <c r="C511" s="23"/>
      <c r="D511" s="23"/>
      <c r="E511" s="23"/>
      <c r="F511" s="101"/>
      <c r="G511" s="101"/>
      <c r="H511" s="101"/>
      <c r="I511" s="101"/>
      <c r="K511" s="228"/>
      <c r="L511" s="38"/>
      <c r="N511" s="23"/>
      <c r="O511" s="23"/>
      <c r="P511" s="23"/>
      <c r="Q511" s="23"/>
      <c r="R511" s="23"/>
    </row>
    <row r="512" spans="1:18" s="148" customFormat="1" x14ac:dyDescent="0.3">
      <c r="A512" s="38"/>
      <c r="B512" s="38"/>
      <c r="C512" s="23"/>
      <c r="D512" s="23"/>
      <c r="E512" s="23"/>
      <c r="F512" s="101"/>
      <c r="G512" s="101"/>
      <c r="H512" s="101"/>
      <c r="I512" s="101"/>
      <c r="K512" s="228"/>
      <c r="L512" s="38"/>
      <c r="N512" s="23"/>
      <c r="O512" s="23"/>
      <c r="P512" s="23"/>
      <c r="Q512" s="23"/>
      <c r="R512" s="23"/>
    </row>
    <row r="513" spans="1:18" s="148" customFormat="1" x14ac:dyDescent="0.3">
      <c r="A513" s="38"/>
      <c r="B513" s="38"/>
      <c r="C513" s="23"/>
      <c r="D513" s="23"/>
      <c r="E513" s="23"/>
      <c r="F513" s="101"/>
      <c r="G513" s="101"/>
      <c r="H513" s="101"/>
      <c r="I513" s="101"/>
      <c r="K513" s="228"/>
      <c r="L513" s="38"/>
      <c r="N513" s="23"/>
      <c r="O513" s="23"/>
      <c r="P513" s="23"/>
      <c r="Q513" s="23"/>
      <c r="R513" s="23"/>
    </row>
    <row r="514" spans="1:18" s="148" customFormat="1" x14ac:dyDescent="0.3">
      <c r="A514" s="38"/>
      <c r="B514" s="38"/>
      <c r="C514" s="23"/>
      <c r="D514" s="23"/>
      <c r="E514" s="23"/>
      <c r="F514" s="101"/>
      <c r="G514" s="101"/>
      <c r="H514" s="101"/>
      <c r="I514" s="101"/>
      <c r="K514" s="228"/>
      <c r="L514" s="38"/>
      <c r="N514" s="23"/>
      <c r="O514" s="23"/>
      <c r="P514" s="23"/>
      <c r="Q514" s="23"/>
      <c r="R514" s="23"/>
    </row>
    <row r="515" spans="1:18" s="148" customFormat="1" x14ac:dyDescent="0.3">
      <c r="A515" s="38"/>
      <c r="B515" s="38"/>
      <c r="C515" s="23"/>
      <c r="D515" s="23"/>
      <c r="E515" s="23"/>
      <c r="F515" s="101"/>
      <c r="G515" s="101"/>
      <c r="H515" s="101"/>
      <c r="I515" s="101"/>
      <c r="K515" s="228"/>
      <c r="L515" s="38"/>
      <c r="N515" s="23"/>
      <c r="O515" s="23"/>
      <c r="P515" s="23"/>
      <c r="Q515" s="23"/>
      <c r="R515" s="23"/>
    </row>
    <row r="516" spans="1:18" s="148" customFormat="1" x14ac:dyDescent="0.3">
      <c r="A516" s="38"/>
      <c r="B516" s="38"/>
      <c r="C516" s="23"/>
      <c r="D516" s="23"/>
      <c r="E516" s="23"/>
      <c r="F516" s="101"/>
      <c r="G516" s="101"/>
      <c r="H516" s="101"/>
      <c r="I516" s="101"/>
      <c r="K516" s="228"/>
      <c r="L516" s="38"/>
      <c r="N516" s="23"/>
      <c r="O516" s="23"/>
      <c r="P516" s="23"/>
      <c r="Q516" s="23"/>
      <c r="R516" s="23"/>
    </row>
    <row r="517" spans="1:18" s="148" customFormat="1" x14ac:dyDescent="0.3">
      <c r="A517" s="38"/>
      <c r="B517" s="38"/>
      <c r="C517" s="23"/>
      <c r="D517" s="23"/>
      <c r="E517" s="23"/>
      <c r="F517" s="101"/>
      <c r="G517" s="101"/>
      <c r="H517" s="101"/>
      <c r="I517" s="101"/>
      <c r="K517" s="228"/>
      <c r="L517" s="38"/>
      <c r="N517" s="23"/>
      <c r="O517" s="23"/>
      <c r="P517" s="23"/>
      <c r="Q517" s="23"/>
      <c r="R517" s="23"/>
    </row>
    <row r="518" spans="1:18" s="148" customFormat="1" x14ac:dyDescent="0.3">
      <c r="A518" s="38"/>
      <c r="B518" s="38"/>
      <c r="C518" s="23"/>
      <c r="D518" s="23"/>
      <c r="E518" s="23"/>
      <c r="F518" s="101"/>
      <c r="G518" s="101"/>
      <c r="H518" s="101"/>
      <c r="I518" s="101"/>
      <c r="K518" s="228"/>
      <c r="L518" s="38"/>
      <c r="N518" s="23"/>
      <c r="O518" s="23"/>
      <c r="P518" s="23"/>
      <c r="Q518" s="23"/>
      <c r="R518" s="23"/>
    </row>
    <row r="519" spans="1:18" s="148" customFormat="1" x14ac:dyDescent="0.3">
      <c r="A519" s="38"/>
      <c r="B519" s="38"/>
      <c r="C519" s="23"/>
      <c r="D519" s="23"/>
      <c r="E519" s="23"/>
      <c r="F519" s="101"/>
      <c r="G519" s="101"/>
      <c r="H519" s="101"/>
      <c r="I519" s="101"/>
      <c r="K519" s="228"/>
      <c r="L519" s="38"/>
      <c r="N519" s="23"/>
      <c r="O519" s="23"/>
      <c r="P519" s="23"/>
      <c r="Q519" s="23"/>
      <c r="R519" s="23"/>
    </row>
    <row r="520" spans="1:18" s="148" customFormat="1" x14ac:dyDescent="0.3">
      <c r="A520" s="38"/>
      <c r="B520" s="38"/>
      <c r="C520" s="23"/>
      <c r="D520" s="23"/>
      <c r="E520" s="23"/>
      <c r="F520" s="101"/>
      <c r="G520" s="101"/>
      <c r="H520" s="101"/>
      <c r="I520" s="101"/>
      <c r="K520" s="228"/>
      <c r="L520" s="38"/>
      <c r="N520" s="23"/>
      <c r="O520" s="23"/>
      <c r="P520" s="23"/>
      <c r="Q520" s="23"/>
      <c r="R520" s="23"/>
    </row>
    <row r="521" spans="1:18" s="148" customFormat="1" x14ac:dyDescent="0.3">
      <c r="A521" s="38"/>
      <c r="B521" s="38"/>
      <c r="C521" s="23"/>
      <c r="D521" s="23"/>
      <c r="E521" s="23"/>
      <c r="F521" s="101"/>
      <c r="G521" s="101"/>
      <c r="H521" s="101"/>
      <c r="I521" s="101"/>
      <c r="K521" s="228"/>
      <c r="L521" s="38"/>
      <c r="N521" s="23"/>
      <c r="O521" s="23"/>
      <c r="P521" s="23"/>
      <c r="Q521" s="23"/>
      <c r="R521" s="23"/>
    </row>
    <row r="522" spans="1:18" s="148" customFormat="1" x14ac:dyDescent="0.3">
      <c r="A522" s="38"/>
      <c r="B522" s="38"/>
      <c r="C522" s="23"/>
      <c r="D522" s="23"/>
      <c r="E522" s="23"/>
      <c r="F522" s="101"/>
      <c r="G522" s="101"/>
      <c r="H522" s="101"/>
      <c r="I522" s="101"/>
      <c r="K522" s="228"/>
      <c r="L522" s="38"/>
      <c r="N522" s="23"/>
      <c r="O522" s="23"/>
      <c r="P522" s="23"/>
      <c r="Q522" s="23"/>
      <c r="R522" s="23"/>
    </row>
    <row r="523" spans="1:18" s="148" customFormat="1" x14ac:dyDescent="0.3">
      <c r="A523" s="38"/>
      <c r="B523" s="38"/>
      <c r="C523" s="23"/>
      <c r="D523" s="23"/>
      <c r="E523" s="23"/>
      <c r="F523" s="101"/>
      <c r="G523" s="101"/>
      <c r="H523" s="101"/>
      <c r="I523" s="101"/>
      <c r="K523" s="228"/>
      <c r="L523" s="38"/>
      <c r="N523" s="23"/>
      <c r="O523" s="23"/>
      <c r="P523" s="23"/>
      <c r="Q523" s="23"/>
      <c r="R523" s="23"/>
    </row>
    <row r="524" spans="1:18" s="148" customFormat="1" x14ac:dyDescent="0.3">
      <c r="A524" s="38"/>
      <c r="B524" s="38"/>
      <c r="C524" s="23"/>
      <c r="D524" s="23"/>
      <c r="E524" s="23"/>
      <c r="F524" s="101"/>
      <c r="G524" s="101"/>
      <c r="H524" s="101"/>
      <c r="I524" s="101"/>
      <c r="K524" s="228"/>
      <c r="L524" s="38"/>
      <c r="N524" s="23"/>
      <c r="O524" s="23"/>
      <c r="P524" s="23"/>
      <c r="Q524" s="23"/>
      <c r="R524" s="23"/>
    </row>
    <row r="525" spans="1:18" s="148" customFormat="1" x14ac:dyDescent="0.3">
      <c r="A525" s="38"/>
      <c r="B525" s="38"/>
      <c r="C525" s="23"/>
      <c r="D525" s="23"/>
      <c r="E525" s="23"/>
      <c r="F525" s="101"/>
      <c r="G525" s="101"/>
      <c r="H525" s="101"/>
      <c r="I525" s="101"/>
      <c r="K525" s="228"/>
      <c r="L525" s="38"/>
      <c r="N525" s="23"/>
      <c r="O525" s="23"/>
      <c r="P525" s="23"/>
      <c r="Q525" s="23"/>
      <c r="R525" s="23"/>
    </row>
    <row r="526" spans="1:18" s="148" customFormat="1" x14ac:dyDescent="0.3">
      <c r="A526" s="38"/>
      <c r="B526" s="38"/>
      <c r="C526" s="23"/>
      <c r="D526" s="23"/>
      <c r="E526" s="23"/>
      <c r="F526" s="101"/>
      <c r="G526" s="101"/>
      <c r="H526" s="101"/>
      <c r="I526" s="101"/>
      <c r="K526" s="228"/>
      <c r="L526" s="38"/>
      <c r="N526" s="23"/>
      <c r="O526" s="23"/>
      <c r="P526" s="23"/>
      <c r="Q526" s="23"/>
      <c r="R526" s="23"/>
    </row>
    <row r="527" spans="1:18" s="148" customFormat="1" x14ac:dyDescent="0.3">
      <c r="A527" s="38"/>
      <c r="B527" s="38"/>
      <c r="C527" s="23"/>
      <c r="D527" s="23"/>
      <c r="E527" s="23"/>
      <c r="F527" s="101"/>
      <c r="G527" s="101"/>
      <c r="H527" s="101"/>
      <c r="I527" s="101"/>
      <c r="K527" s="228"/>
      <c r="L527" s="38"/>
      <c r="N527" s="23"/>
      <c r="O527" s="23"/>
      <c r="P527" s="23"/>
      <c r="Q527" s="23"/>
      <c r="R527" s="23"/>
    </row>
    <row r="528" spans="1:18" s="148" customFormat="1" x14ac:dyDescent="0.3">
      <c r="A528" s="38"/>
      <c r="B528" s="38"/>
      <c r="C528" s="23"/>
      <c r="D528" s="23"/>
      <c r="E528" s="23"/>
      <c r="F528" s="101"/>
      <c r="G528" s="101"/>
      <c r="H528" s="101"/>
      <c r="I528" s="101"/>
      <c r="K528" s="228"/>
      <c r="L528" s="38"/>
      <c r="N528" s="23"/>
      <c r="O528" s="23"/>
      <c r="P528" s="23"/>
      <c r="Q528" s="23"/>
      <c r="R528" s="23"/>
    </row>
    <row r="529" spans="1:18" s="148" customFormat="1" x14ac:dyDescent="0.3">
      <c r="A529" s="38"/>
      <c r="B529" s="38"/>
      <c r="C529" s="23"/>
      <c r="D529" s="23"/>
      <c r="E529" s="23"/>
      <c r="F529" s="101"/>
      <c r="G529" s="101"/>
      <c r="H529" s="101"/>
      <c r="I529" s="101"/>
      <c r="K529" s="228"/>
      <c r="L529" s="38"/>
      <c r="N529" s="23"/>
      <c r="O529" s="23"/>
      <c r="P529" s="23"/>
      <c r="Q529" s="23"/>
      <c r="R529" s="23"/>
    </row>
    <row r="530" spans="1:18" s="148" customFormat="1" x14ac:dyDescent="0.3">
      <c r="A530" s="38"/>
      <c r="B530" s="38"/>
      <c r="C530" s="23"/>
      <c r="D530" s="23"/>
      <c r="E530" s="23"/>
      <c r="F530" s="101"/>
      <c r="G530" s="101"/>
      <c r="H530" s="101"/>
      <c r="I530" s="101"/>
      <c r="K530" s="228"/>
      <c r="L530" s="38"/>
      <c r="N530" s="23"/>
      <c r="O530" s="23"/>
      <c r="P530" s="23"/>
      <c r="Q530" s="23"/>
      <c r="R530" s="23"/>
    </row>
    <row r="531" spans="1:18" s="148" customFormat="1" x14ac:dyDescent="0.3">
      <c r="A531" s="38"/>
      <c r="B531" s="38"/>
      <c r="C531" s="23"/>
      <c r="D531" s="23"/>
      <c r="E531" s="23"/>
      <c r="F531" s="101"/>
      <c r="G531" s="101"/>
      <c r="H531" s="101"/>
      <c r="I531" s="101"/>
      <c r="K531" s="228"/>
      <c r="L531" s="38"/>
      <c r="N531" s="23"/>
      <c r="O531" s="23"/>
      <c r="P531" s="23"/>
      <c r="Q531" s="23"/>
      <c r="R531" s="23"/>
    </row>
    <row r="532" spans="1:18" s="148" customFormat="1" x14ac:dyDescent="0.3">
      <c r="A532" s="38"/>
      <c r="B532" s="38"/>
      <c r="C532" s="23"/>
      <c r="D532" s="23"/>
      <c r="E532" s="23"/>
      <c r="F532" s="101"/>
      <c r="G532" s="101"/>
      <c r="H532" s="101"/>
      <c r="I532" s="101"/>
      <c r="K532" s="228"/>
      <c r="L532" s="38"/>
      <c r="N532" s="23"/>
      <c r="O532" s="23"/>
      <c r="P532" s="23"/>
      <c r="Q532" s="23"/>
      <c r="R532" s="23"/>
    </row>
    <row r="533" spans="1:18" s="148" customFormat="1" x14ac:dyDescent="0.3">
      <c r="A533" s="38"/>
      <c r="B533" s="38"/>
      <c r="C533" s="23"/>
      <c r="D533" s="23"/>
      <c r="E533" s="23"/>
      <c r="F533" s="101"/>
      <c r="G533" s="101"/>
      <c r="H533" s="101"/>
      <c r="I533" s="101"/>
      <c r="K533" s="228"/>
      <c r="L533" s="38"/>
      <c r="N533" s="23"/>
      <c r="O533" s="23"/>
      <c r="P533" s="23"/>
      <c r="Q533" s="23"/>
      <c r="R533" s="23"/>
    </row>
    <row r="534" spans="1:18" s="148" customFormat="1" x14ac:dyDescent="0.3">
      <c r="A534" s="38"/>
      <c r="B534" s="38"/>
      <c r="C534" s="23"/>
      <c r="D534" s="23"/>
      <c r="E534" s="23"/>
      <c r="F534" s="101"/>
      <c r="G534" s="101"/>
      <c r="H534" s="101"/>
      <c r="I534" s="101"/>
      <c r="K534" s="228"/>
      <c r="L534" s="38"/>
      <c r="N534" s="23"/>
      <c r="O534" s="23"/>
      <c r="P534" s="23"/>
      <c r="Q534" s="23"/>
      <c r="R534" s="23"/>
    </row>
    <row r="535" spans="1:18" s="148" customFormat="1" x14ac:dyDescent="0.3">
      <c r="A535" s="38"/>
      <c r="B535" s="38"/>
      <c r="C535" s="23"/>
      <c r="D535" s="23"/>
      <c r="E535" s="23"/>
      <c r="F535" s="101"/>
      <c r="G535" s="101"/>
      <c r="H535" s="101"/>
      <c r="I535" s="101"/>
      <c r="K535" s="228"/>
      <c r="L535" s="38"/>
      <c r="N535" s="23"/>
      <c r="O535" s="23"/>
      <c r="P535" s="23"/>
      <c r="Q535" s="23"/>
      <c r="R535" s="23"/>
    </row>
    <row r="536" spans="1:18" s="148" customFormat="1" x14ac:dyDescent="0.3">
      <c r="A536" s="38"/>
      <c r="B536" s="38"/>
      <c r="C536" s="23"/>
      <c r="D536" s="23"/>
      <c r="E536" s="23"/>
      <c r="F536" s="101"/>
      <c r="G536" s="101"/>
      <c r="H536" s="101"/>
      <c r="I536" s="101"/>
      <c r="K536" s="228"/>
      <c r="L536" s="38"/>
      <c r="N536" s="23"/>
      <c r="O536" s="23"/>
      <c r="P536" s="23"/>
      <c r="Q536" s="23"/>
      <c r="R536" s="23"/>
    </row>
    <row r="537" spans="1:18" s="148" customFormat="1" x14ac:dyDescent="0.3">
      <c r="A537" s="38"/>
      <c r="B537" s="38"/>
      <c r="C537" s="23"/>
      <c r="D537" s="23"/>
      <c r="E537" s="23"/>
      <c r="F537" s="101"/>
      <c r="G537" s="101"/>
      <c r="H537" s="101"/>
      <c r="I537" s="101"/>
      <c r="K537" s="228"/>
      <c r="L537" s="38"/>
      <c r="N537" s="23"/>
      <c r="O537" s="23"/>
      <c r="P537" s="23"/>
      <c r="Q537" s="23"/>
      <c r="R537" s="23"/>
    </row>
    <row r="538" spans="1:18" s="148" customFormat="1" x14ac:dyDescent="0.3">
      <c r="A538" s="38"/>
      <c r="B538" s="38"/>
      <c r="C538" s="23"/>
      <c r="D538" s="23"/>
      <c r="E538" s="23"/>
      <c r="F538" s="101"/>
      <c r="G538" s="101"/>
      <c r="H538" s="101"/>
      <c r="I538" s="101"/>
      <c r="K538" s="228"/>
      <c r="L538" s="38"/>
      <c r="N538" s="23"/>
      <c r="O538" s="23"/>
      <c r="P538" s="23"/>
      <c r="Q538" s="23"/>
      <c r="R538" s="23"/>
    </row>
    <row r="539" spans="1:18" s="148" customFormat="1" x14ac:dyDescent="0.3">
      <c r="A539" s="38"/>
      <c r="B539" s="38"/>
      <c r="C539" s="23"/>
      <c r="D539" s="23"/>
      <c r="E539" s="23"/>
      <c r="F539" s="101"/>
      <c r="G539" s="101"/>
      <c r="H539" s="101"/>
      <c r="I539" s="101"/>
      <c r="K539" s="228"/>
      <c r="L539" s="38"/>
      <c r="N539" s="23"/>
      <c r="O539" s="23"/>
      <c r="P539" s="23"/>
      <c r="Q539" s="23"/>
      <c r="R539" s="23"/>
    </row>
    <row r="540" spans="1:18" s="148" customFormat="1" x14ac:dyDescent="0.3">
      <c r="A540" s="38"/>
      <c r="B540" s="38"/>
      <c r="C540" s="23"/>
      <c r="D540" s="23"/>
      <c r="E540" s="23"/>
      <c r="F540" s="101"/>
      <c r="G540" s="101"/>
      <c r="H540" s="101"/>
      <c r="I540" s="101"/>
      <c r="K540" s="228"/>
      <c r="L540" s="38"/>
      <c r="N540" s="23"/>
      <c r="O540" s="23"/>
      <c r="P540" s="23"/>
      <c r="Q540" s="23"/>
      <c r="R540" s="23"/>
    </row>
    <row r="541" spans="1:18" s="148" customFormat="1" x14ac:dyDescent="0.3">
      <c r="A541" s="38"/>
      <c r="B541" s="38"/>
      <c r="C541" s="23"/>
      <c r="D541" s="23"/>
      <c r="E541" s="23"/>
      <c r="F541" s="101"/>
      <c r="G541" s="101"/>
      <c r="H541" s="101"/>
      <c r="I541" s="101"/>
      <c r="K541" s="228"/>
      <c r="L541" s="38"/>
      <c r="N541" s="23"/>
      <c r="O541" s="23"/>
      <c r="P541" s="23"/>
      <c r="Q541" s="23"/>
      <c r="R541" s="23"/>
    </row>
    <row r="542" spans="1:18" s="148" customFormat="1" x14ac:dyDescent="0.3">
      <c r="A542" s="38"/>
      <c r="B542" s="38"/>
      <c r="C542" s="23"/>
      <c r="D542" s="23"/>
      <c r="E542" s="23"/>
      <c r="F542" s="101"/>
      <c r="G542" s="101"/>
      <c r="H542" s="101"/>
      <c r="I542" s="101"/>
      <c r="K542" s="228"/>
      <c r="L542" s="38"/>
      <c r="N542" s="23"/>
      <c r="O542" s="23"/>
      <c r="P542" s="23"/>
      <c r="Q542" s="23"/>
      <c r="R542" s="23"/>
    </row>
    <row r="543" spans="1:18" s="148" customFormat="1" x14ac:dyDescent="0.3">
      <c r="A543" s="38"/>
      <c r="B543" s="38"/>
      <c r="C543" s="23"/>
      <c r="D543" s="23"/>
      <c r="E543" s="23"/>
      <c r="F543" s="101"/>
      <c r="G543" s="101"/>
      <c r="H543" s="101"/>
      <c r="I543" s="101"/>
      <c r="K543" s="228"/>
      <c r="L543" s="38"/>
      <c r="N543" s="23"/>
      <c r="O543" s="23"/>
      <c r="P543" s="23"/>
      <c r="Q543" s="23"/>
      <c r="R543" s="23"/>
    </row>
    <row r="544" spans="1:18" s="148" customFormat="1" x14ac:dyDescent="0.3">
      <c r="A544" s="38"/>
      <c r="B544" s="38"/>
      <c r="C544" s="23"/>
      <c r="D544" s="23"/>
      <c r="E544" s="23"/>
      <c r="F544" s="101"/>
      <c r="G544" s="101"/>
      <c r="H544" s="101"/>
      <c r="I544" s="101"/>
      <c r="K544" s="228"/>
      <c r="L544" s="38"/>
      <c r="N544" s="23"/>
      <c r="O544" s="23"/>
      <c r="P544" s="23"/>
      <c r="Q544" s="23"/>
      <c r="R544" s="23"/>
    </row>
    <row r="545" spans="1:18" s="148" customFormat="1" x14ac:dyDescent="0.3">
      <c r="A545" s="38"/>
      <c r="B545" s="38"/>
      <c r="C545" s="23"/>
      <c r="D545" s="23"/>
      <c r="E545" s="23"/>
      <c r="F545" s="101"/>
      <c r="G545" s="101"/>
      <c r="H545" s="101"/>
      <c r="I545" s="101"/>
      <c r="K545" s="228"/>
      <c r="L545" s="38"/>
      <c r="N545" s="23"/>
      <c r="O545" s="23"/>
      <c r="P545" s="23"/>
      <c r="Q545" s="23"/>
      <c r="R545" s="23"/>
    </row>
    <row r="546" spans="1:18" s="148" customFormat="1" x14ac:dyDescent="0.3">
      <c r="A546" s="38"/>
      <c r="B546" s="38"/>
      <c r="C546" s="23"/>
      <c r="D546" s="23"/>
      <c r="E546" s="23"/>
      <c r="F546" s="101"/>
      <c r="G546" s="101"/>
      <c r="H546" s="101"/>
      <c r="I546" s="101"/>
      <c r="K546" s="228"/>
      <c r="L546" s="38"/>
      <c r="N546" s="23"/>
      <c r="O546" s="23"/>
      <c r="P546" s="23"/>
      <c r="Q546" s="23"/>
      <c r="R546" s="23"/>
    </row>
    <row r="547" spans="1:18" s="148" customFormat="1" x14ac:dyDescent="0.3">
      <c r="A547" s="38"/>
      <c r="B547" s="38"/>
      <c r="C547" s="23"/>
      <c r="D547" s="23"/>
      <c r="E547" s="23"/>
      <c r="F547" s="101"/>
      <c r="G547" s="101"/>
      <c r="H547" s="101"/>
      <c r="I547" s="101"/>
      <c r="K547" s="228"/>
      <c r="L547" s="38"/>
      <c r="N547" s="23"/>
      <c r="O547" s="23"/>
      <c r="P547" s="23"/>
      <c r="Q547" s="23"/>
      <c r="R547" s="23"/>
    </row>
    <row r="548" spans="1:18" s="148" customFormat="1" x14ac:dyDescent="0.3">
      <c r="A548" s="38"/>
      <c r="B548" s="38"/>
      <c r="C548" s="23"/>
      <c r="D548" s="23"/>
      <c r="E548" s="23"/>
      <c r="F548" s="101"/>
      <c r="G548" s="101"/>
      <c r="H548" s="101"/>
      <c r="I548" s="101"/>
      <c r="K548" s="228"/>
      <c r="L548" s="38"/>
      <c r="N548" s="23"/>
      <c r="O548" s="23"/>
      <c r="P548" s="23"/>
      <c r="Q548" s="23"/>
      <c r="R548" s="23"/>
    </row>
    <row r="549" spans="1:18" s="148" customFormat="1" x14ac:dyDescent="0.3">
      <c r="A549" s="38"/>
      <c r="B549" s="38"/>
      <c r="C549" s="23"/>
      <c r="D549" s="23"/>
      <c r="E549" s="23"/>
      <c r="F549" s="101"/>
      <c r="G549" s="101"/>
      <c r="H549" s="101"/>
      <c r="I549" s="101"/>
      <c r="K549" s="228"/>
      <c r="L549" s="38"/>
      <c r="N549" s="23"/>
      <c r="O549" s="23"/>
      <c r="P549" s="23"/>
      <c r="Q549" s="23"/>
      <c r="R549" s="23"/>
    </row>
    <row r="550" spans="1:18" s="148" customFormat="1" x14ac:dyDescent="0.3">
      <c r="A550" s="38"/>
      <c r="B550" s="38"/>
      <c r="C550" s="23"/>
      <c r="D550" s="23"/>
      <c r="E550" s="23"/>
      <c r="F550" s="101"/>
      <c r="G550" s="101"/>
      <c r="H550" s="101"/>
      <c r="I550" s="101"/>
      <c r="K550" s="228"/>
      <c r="L550" s="38"/>
      <c r="N550" s="23"/>
      <c r="O550" s="23"/>
      <c r="P550" s="23"/>
      <c r="Q550" s="23"/>
      <c r="R550" s="23"/>
    </row>
    <row r="551" spans="1:18" s="148" customFormat="1" x14ac:dyDescent="0.3">
      <c r="A551" s="38"/>
      <c r="B551" s="38"/>
      <c r="C551" s="23"/>
      <c r="D551" s="23"/>
      <c r="E551" s="23"/>
      <c r="F551" s="101"/>
      <c r="G551" s="101"/>
      <c r="H551" s="101"/>
      <c r="I551" s="101"/>
      <c r="K551" s="228"/>
      <c r="L551" s="38"/>
      <c r="N551" s="23"/>
      <c r="O551" s="23"/>
      <c r="P551" s="23"/>
      <c r="Q551" s="23"/>
      <c r="R551" s="23"/>
    </row>
    <row r="552" spans="1:18" s="148" customFormat="1" x14ac:dyDescent="0.3">
      <c r="A552" s="38"/>
      <c r="B552" s="38"/>
      <c r="C552" s="23"/>
      <c r="D552" s="23"/>
      <c r="E552" s="23"/>
      <c r="F552" s="101"/>
      <c r="G552" s="101"/>
      <c r="H552" s="101"/>
      <c r="I552" s="101"/>
      <c r="K552" s="228"/>
      <c r="L552" s="38"/>
      <c r="N552" s="23"/>
      <c r="O552" s="23"/>
      <c r="P552" s="23"/>
      <c r="Q552" s="23"/>
      <c r="R552" s="23"/>
    </row>
    <row r="553" spans="1:18" s="148" customFormat="1" x14ac:dyDescent="0.3">
      <c r="A553" s="38"/>
      <c r="B553" s="38"/>
      <c r="C553" s="23"/>
      <c r="D553" s="23"/>
      <c r="E553" s="23"/>
      <c r="F553" s="101"/>
      <c r="G553" s="101"/>
      <c r="H553" s="101"/>
      <c r="I553" s="101"/>
      <c r="K553" s="228"/>
      <c r="L553" s="38"/>
      <c r="N553" s="23"/>
      <c r="O553" s="23"/>
      <c r="P553" s="23"/>
      <c r="Q553" s="23"/>
      <c r="R553" s="23"/>
    </row>
    <row r="554" spans="1:18" s="148" customFormat="1" x14ac:dyDescent="0.3">
      <c r="A554" s="38"/>
      <c r="B554" s="38"/>
      <c r="C554" s="23"/>
      <c r="D554" s="23"/>
      <c r="E554" s="23"/>
      <c r="F554" s="101"/>
      <c r="G554" s="101"/>
      <c r="H554" s="101"/>
      <c r="I554" s="101"/>
      <c r="K554" s="228"/>
      <c r="L554" s="38"/>
      <c r="N554" s="23"/>
      <c r="O554" s="23"/>
      <c r="P554" s="23"/>
      <c r="Q554" s="23"/>
      <c r="R554" s="23"/>
    </row>
    <row r="555" spans="1:18" s="148" customFormat="1" x14ac:dyDescent="0.3">
      <c r="A555" s="38"/>
      <c r="B555" s="38"/>
      <c r="C555" s="23"/>
      <c r="D555" s="23"/>
      <c r="E555" s="23"/>
      <c r="F555" s="101"/>
      <c r="G555" s="101"/>
      <c r="H555" s="101"/>
      <c r="I555" s="101"/>
      <c r="K555" s="228"/>
      <c r="L555" s="38"/>
      <c r="N555" s="23"/>
      <c r="O555" s="23"/>
      <c r="P555" s="23"/>
      <c r="Q555" s="23"/>
      <c r="R555" s="23"/>
    </row>
    <row r="556" spans="1:18" s="148" customFormat="1" x14ac:dyDescent="0.3">
      <c r="A556" s="38"/>
      <c r="B556" s="38"/>
      <c r="C556" s="23"/>
      <c r="D556" s="23"/>
      <c r="E556" s="23"/>
      <c r="F556" s="101"/>
      <c r="G556" s="101"/>
      <c r="H556" s="101"/>
      <c r="I556" s="101"/>
      <c r="K556" s="228"/>
      <c r="L556" s="38"/>
      <c r="N556" s="23"/>
      <c r="O556" s="23"/>
      <c r="P556" s="23"/>
      <c r="Q556" s="23"/>
      <c r="R556" s="23"/>
    </row>
    <row r="557" spans="1:18" s="148" customFormat="1" x14ac:dyDescent="0.3">
      <c r="A557" s="38"/>
      <c r="B557" s="38"/>
      <c r="C557" s="23"/>
      <c r="D557" s="23"/>
      <c r="E557" s="23"/>
      <c r="F557" s="101"/>
      <c r="G557" s="101"/>
      <c r="H557" s="101"/>
      <c r="I557" s="101"/>
      <c r="K557" s="228"/>
      <c r="L557" s="38"/>
      <c r="N557" s="23"/>
      <c r="O557" s="23"/>
      <c r="P557" s="23"/>
      <c r="Q557" s="23"/>
      <c r="R557" s="23"/>
    </row>
    <row r="558" spans="1:18" s="148" customFormat="1" x14ac:dyDescent="0.3">
      <c r="A558" s="38"/>
      <c r="B558" s="38"/>
      <c r="C558" s="23"/>
      <c r="D558" s="23"/>
      <c r="E558" s="23"/>
      <c r="F558" s="101"/>
      <c r="G558" s="101"/>
      <c r="H558" s="101"/>
      <c r="I558" s="101"/>
      <c r="K558" s="228"/>
      <c r="L558" s="38"/>
      <c r="N558" s="23"/>
      <c r="O558" s="23"/>
      <c r="P558" s="23"/>
      <c r="Q558" s="23"/>
      <c r="R558" s="23"/>
    </row>
    <row r="559" spans="1:18" s="148" customFormat="1" x14ac:dyDescent="0.3">
      <c r="A559" s="38"/>
      <c r="B559" s="38"/>
      <c r="C559" s="23"/>
      <c r="D559" s="23"/>
      <c r="E559" s="23"/>
      <c r="F559" s="101"/>
      <c r="G559" s="101"/>
      <c r="H559" s="101"/>
      <c r="I559" s="101"/>
      <c r="K559" s="228"/>
      <c r="L559" s="38"/>
      <c r="N559" s="23"/>
      <c r="O559" s="23"/>
      <c r="P559" s="23"/>
      <c r="Q559" s="23"/>
      <c r="R559" s="23"/>
    </row>
    <row r="560" spans="1:18" s="148" customFormat="1" x14ac:dyDescent="0.3">
      <c r="A560" s="38"/>
      <c r="B560" s="38"/>
      <c r="C560" s="23"/>
      <c r="D560" s="23"/>
      <c r="E560" s="23"/>
      <c r="F560" s="101"/>
      <c r="G560" s="101"/>
      <c r="H560" s="101"/>
      <c r="I560" s="101"/>
      <c r="K560" s="228"/>
      <c r="L560" s="38"/>
      <c r="N560" s="23"/>
      <c r="O560" s="23"/>
      <c r="P560" s="23"/>
      <c r="Q560" s="23"/>
      <c r="R560" s="23"/>
    </row>
    <row r="561" spans="1:18" s="148" customFormat="1" x14ac:dyDescent="0.3">
      <c r="A561" s="38"/>
      <c r="B561" s="38"/>
      <c r="C561" s="23"/>
      <c r="D561" s="23"/>
      <c r="E561" s="23"/>
      <c r="F561" s="101"/>
      <c r="G561" s="101"/>
      <c r="H561" s="101"/>
      <c r="I561" s="101"/>
      <c r="K561" s="228"/>
      <c r="L561" s="38"/>
      <c r="N561" s="23"/>
      <c r="O561" s="23"/>
      <c r="P561" s="23"/>
      <c r="Q561" s="23"/>
      <c r="R561" s="23"/>
    </row>
    <row r="562" spans="1:18" s="148" customFormat="1" x14ac:dyDescent="0.3">
      <c r="A562" s="38"/>
      <c r="B562" s="38"/>
      <c r="C562" s="23"/>
      <c r="D562" s="23"/>
      <c r="E562" s="23"/>
      <c r="F562" s="101"/>
      <c r="G562" s="101"/>
      <c r="H562" s="101"/>
      <c r="I562" s="101"/>
      <c r="K562" s="228"/>
      <c r="L562" s="38"/>
      <c r="N562" s="23"/>
      <c r="O562" s="23"/>
      <c r="P562" s="23"/>
      <c r="Q562" s="23"/>
      <c r="R562" s="23"/>
    </row>
    <row r="563" spans="1:18" s="148" customFormat="1" x14ac:dyDescent="0.3">
      <c r="A563" s="38"/>
      <c r="B563" s="38"/>
      <c r="C563" s="23"/>
      <c r="D563" s="23"/>
      <c r="E563" s="23"/>
      <c r="F563" s="101"/>
      <c r="G563" s="101"/>
      <c r="H563" s="101"/>
      <c r="I563" s="101"/>
      <c r="K563" s="228"/>
      <c r="L563" s="38"/>
      <c r="N563" s="23"/>
      <c r="O563" s="23"/>
      <c r="P563" s="23"/>
      <c r="Q563" s="23"/>
      <c r="R563" s="23"/>
    </row>
    <row r="564" spans="1:18" s="148" customFormat="1" x14ac:dyDescent="0.3">
      <c r="A564" s="38"/>
      <c r="B564" s="38"/>
      <c r="C564" s="23"/>
      <c r="D564" s="23"/>
      <c r="E564" s="23"/>
      <c r="F564" s="101"/>
      <c r="G564" s="101"/>
      <c r="H564" s="101"/>
      <c r="I564" s="101"/>
      <c r="K564" s="228"/>
      <c r="L564" s="38"/>
      <c r="N564" s="23"/>
      <c r="O564" s="23"/>
      <c r="P564" s="23"/>
      <c r="Q564" s="23"/>
      <c r="R564" s="23"/>
    </row>
    <row r="565" spans="1:18" s="148" customFormat="1" x14ac:dyDescent="0.3">
      <c r="A565" s="38"/>
      <c r="B565" s="38"/>
      <c r="C565" s="23"/>
      <c r="D565" s="23"/>
      <c r="E565" s="23"/>
      <c r="F565" s="101"/>
      <c r="G565" s="101"/>
      <c r="H565" s="101"/>
      <c r="I565" s="101"/>
      <c r="K565" s="228"/>
      <c r="L565" s="38"/>
      <c r="N565" s="23"/>
      <c r="O565" s="23"/>
      <c r="P565" s="23"/>
      <c r="Q565" s="23"/>
      <c r="R565" s="23"/>
    </row>
    <row r="566" spans="1:18" s="148" customFormat="1" x14ac:dyDescent="0.3">
      <c r="A566" s="38"/>
      <c r="B566" s="38"/>
      <c r="C566" s="23"/>
      <c r="D566" s="23"/>
      <c r="E566" s="23"/>
      <c r="F566" s="101"/>
      <c r="G566" s="101"/>
      <c r="H566" s="101"/>
      <c r="I566" s="101"/>
      <c r="K566" s="228"/>
      <c r="L566" s="38"/>
      <c r="N566" s="23"/>
      <c r="O566" s="23"/>
      <c r="P566" s="23"/>
      <c r="Q566" s="23"/>
      <c r="R566" s="23"/>
    </row>
    <row r="567" spans="1:18" s="148" customFormat="1" x14ac:dyDescent="0.3">
      <c r="A567" s="38"/>
      <c r="B567" s="38"/>
      <c r="C567" s="23"/>
      <c r="D567" s="23"/>
      <c r="E567" s="23"/>
      <c r="F567" s="101"/>
      <c r="G567" s="101"/>
      <c r="H567" s="101"/>
      <c r="I567" s="101"/>
      <c r="K567" s="228"/>
      <c r="L567" s="38"/>
      <c r="N567" s="23"/>
      <c r="O567" s="23"/>
      <c r="P567" s="23"/>
      <c r="Q567" s="23"/>
      <c r="R567" s="23"/>
    </row>
    <row r="568" spans="1:18" s="148" customFormat="1" x14ac:dyDescent="0.3">
      <c r="A568" s="38"/>
      <c r="B568" s="38"/>
      <c r="C568" s="23"/>
      <c r="D568" s="23"/>
      <c r="E568" s="23"/>
      <c r="F568" s="101"/>
      <c r="G568" s="101"/>
      <c r="H568" s="101"/>
      <c r="I568" s="101"/>
      <c r="K568" s="228"/>
      <c r="L568" s="38"/>
      <c r="N568" s="23"/>
      <c r="O568" s="23"/>
      <c r="P568" s="23"/>
      <c r="Q568" s="23"/>
      <c r="R568" s="23"/>
    </row>
    <row r="569" spans="1:18" s="148" customFormat="1" x14ac:dyDescent="0.3">
      <c r="A569" s="38"/>
      <c r="B569" s="38"/>
      <c r="C569" s="23"/>
      <c r="D569" s="23"/>
      <c r="E569" s="23"/>
      <c r="F569" s="101"/>
      <c r="G569" s="101"/>
      <c r="H569" s="101"/>
      <c r="I569" s="101"/>
      <c r="K569" s="228"/>
      <c r="L569" s="38"/>
      <c r="N569" s="23"/>
      <c r="O569" s="23"/>
      <c r="P569" s="23"/>
      <c r="Q569" s="23"/>
      <c r="R569" s="23"/>
    </row>
    <row r="570" spans="1:18" s="148" customFormat="1" x14ac:dyDescent="0.3">
      <c r="A570" s="38"/>
      <c r="B570" s="38"/>
      <c r="C570" s="23"/>
      <c r="D570" s="23"/>
      <c r="E570" s="23"/>
      <c r="F570" s="101"/>
      <c r="G570" s="101"/>
      <c r="H570" s="101"/>
      <c r="I570" s="101"/>
      <c r="K570" s="228"/>
      <c r="L570" s="38"/>
      <c r="N570" s="23"/>
      <c r="O570" s="23"/>
      <c r="P570" s="23"/>
      <c r="Q570" s="23"/>
      <c r="R570" s="23"/>
    </row>
    <row r="571" spans="1:18" s="148" customFormat="1" x14ac:dyDescent="0.3">
      <c r="A571" s="38"/>
      <c r="B571" s="38"/>
      <c r="C571" s="23"/>
      <c r="D571" s="23"/>
      <c r="E571" s="23"/>
      <c r="F571" s="101"/>
      <c r="G571" s="101"/>
      <c r="H571" s="101"/>
      <c r="I571" s="101"/>
      <c r="K571" s="228"/>
      <c r="L571" s="38"/>
      <c r="N571" s="23"/>
      <c r="O571" s="23"/>
      <c r="P571" s="23"/>
      <c r="Q571" s="23"/>
      <c r="R571" s="23"/>
    </row>
    <row r="572" spans="1:18" s="148" customFormat="1" x14ac:dyDescent="0.3">
      <c r="A572" s="38"/>
      <c r="B572" s="38"/>
      <c r="C572" s="23"/>
      <c r="D572" s="23"/>
      <c r="E572" s="23"/>
      <c r="F572" s="101"/>
      <c r="G572" s="101"/>
      <c r="H572" s="101"/>
      <c r="I572" s="101"/>
      <c r="K572" s="228"/>
      <c r="L572" s="38"/>
      <c r="N572" s="23"/>
      <c r="O572" s="23"/>
      <c r="P572" s="23"/>
      <c r="Q572" s="23"/>
      <c r="R572" s="23"/>
    </row>
    <row r="573" spans="1:18" s="148" customFormat="1" x14ac:dyDescent="0.3">
      <c r="A573" s="38"/>
      <c r="B573" s="38"/>
      <c r="C573" s="23"/>
      <c r="D573" s="23"/>
      <c r="E573" s="23"/>
      <c r="F573" s="101"/>
      <c r="G573" s="101"/>
      <c r="H573" s="101"/>
      <c r="I573" s="101"/>
      <c r="K573" s="228"/>
      <c r="L573" s="38"/>
      <c r="N573" s="23"/>
      <c r="O573" s="23"/>
      <c r="P573" s="23"/>
      <c r="Q573" s="23"/>
      <c r="R573" s="23"/>
    </row>
    <row r="574" spans="1:18" s="148" customFormat="1" x14ac:dyDescent="0.3">
      <c r="A574" s="38"/>
      <c r="B574" s="38"/>
      <c r="C574" s="23"/>
      <c r="D574" s="23"/>
      <c r="E574" s="23"/>
      <c r="F574" s="101"/>
      <c r="G574" s="101"/>
      <c r="H574" s="101"/>
      <c r="I574" s="101"/>
      <c r="K574" s="228"/>
      <c r="L574" s="38"/>
      <c r="N574" s="23"/>
      <c r="O574" s="23"/>
      <c r="P574" s="23"/>
      <c r="Q574" s="23"/>
      <c r="R574" s="23"/>
    </row>
    <row r="575" spans="1:18" s="148" customFormat="1" x14ac:dyDescent="0.3">
      <c r="A575" s="38"/>
      <c r="B575" s="38"/>
      <c r="C575" s="23"/>
      <c r="D575" s="23"/>
      <c r="E575" s="23"/>
      <c r="F575" s="101"/>
      <c r="G575" s="101"/>
      <c r="H575" s="101"/>
      <c r="I575" s="101"/>
      <c r="K575" s="228"/>
      <c r="L575" s="38"/>
      <c r="N575" s="23"/>
      <c r="O575" s="23"/>
      <c r="P575" s="23"/>
      <c r="Q575" s="23"/>
      <c r="R575" s="23"/>
    </row>
    <row r="576" spans="1:18" s="148" customFormat="1" x14ac:dyDescent="0.3">
      <c r="A576" s="38"/>
      <c r="B576" s="38"/>
      <c r="C576" s="23"/>
      <c r="D576" s="23"/>
      <c r="E576" s="23"/>
      <c r="F576" s="101"/>
      <c r="G576" s="101"/>
      <c r="H576" s="101"/>
      <c r="I576" s="101"/>
      <c r="K576" s="228"/>
      <c r="L576" s="38"/>
      <c r="N576" s="23"/>
      <c r="O576" s="23"/>
      <c r="P576" s="23"/>
      <c r="Q576" s="23"/>
      <c r="R576" s="23"/>
    </row>
    <row r="577" spans="1:18" s="148" customFormat="1" x14ac:dyDescent="0.3">
      <c r="A577" s="38"/>
      <c r="B577" s="38"/>
      <c r="C577" s="23"/>
      <c r="D577" s="23"/>
      <c r="E577" s="23"/>
      <c r="F577" s="101"/>
      <c r="G577" s="101"/>
      <c r="H577" s="101"/>
      <c r="I577" s="101"/>
      <c r="K577" s="228"/>
      <c r="L577" s="38"/>
      <c r="N577" s="23"/>
      <c r="O577" s="23"/>
      <c r="P577" s="23"/>
      <c r="Q577" s="23"/>
      <c r="R577" s="23"/>
    </row>
    <row r="578" spans="1:18" s="148" customFormat="1" x14ac:dyDescent="0.3">
      <c r="A578" s="38"/>
      <c r="B578" s="38"/>
      <c r="C578" s="23"/>
      <c r="D578" s="23"/>
      <c r="E578" s="23"/>
      <c r="F578" s="101"/>
      <c r="G578" s="101"/>
      <c r="H578" s="101"/>
      <c r="I578" s="101"/>
      <c r="K578" s="228"/>
      <c r="L578" s="38"/>
      <c r="N578" s="23"/>
      <c r="O578" s="23"/>
      <c r="P578" s="23"/>
      <c r="Q578" s="23"/>
      <c r="R578" s="23"/>
    </row>
    <row r="579" spans="1:18" s="148" customFormat="1" x14ac:dyDescent="0.3">
      <c r="A579" s="38"/>
      <c r="B579" s="38"/>
      <c r="C579" s="23"/>
      <c r="D579" s="23"/>
      <c r="E579" s="23"/>
      <c r="F579" s="101"/>
      <c r="G579" s="101"/>
      <c r="H579" s="101"/>
      <c r="I579" s="101"/>
      <c r="K579" s="228"/>
      <c r="L579" s="38"/>
      <c r="N579" s="23"/>
      <c r="O579" s="23"/>
      <c r="P579" s="23"/>
      <c r="Q579" s="23"/>
      <c r="R579" s="23"/>
    </row>
    <row r="580" spans="1:18" s="148" customFormat="1" x14ac:dyDescent="0.3">
      <c r="A580" s="38"/>
      <c r="B580" s="38"/>
      <c r="C580" s="23"/>
      <c r="D580" s="23"/>
      <c r="E580" s="23"/>
      <c r="F580" s="101"/>
      <c r="G580" s="101"/>
      <c r="H580" s="101"/>
      <c r="I580" s="101"/>
      <c r="K580" s="228"/>
      <c r="L580" s="38"/>
      <c r="N580" s="23"/>
      <c r="O580" s="23"/>
      <c r="P580" s="23"/>
      <c r="Q580" s="23"/>
      <c r="R580" s="23"/>
    </row>
    <row r="581" spans="1:18" s="148" customFormat="1" x14ac:dyDescent="0.3">
      <c r="A581" s="38"/>
      <c r="B581" s="38"/>
      <c r="C581" s="23"/>
      <c r="D581" s="23"/>
      <c r="E581" s="23"/>
      <c r="F581" s="101"/>
      <c r="G581" s="101"/>
      <c r="H581" s="101"/>
      <c r="I581" s="101"/>
      <c r="K581" s="228"/>
      <c r="L581" s="38"/>
      <c r="N581" s="23"/>
      <c r="O581" s="23"/>
      <c r="P581" s="23"/>
      <c r="Q581" s="23"/>
      <c r="R581" s="23"/>
    </row>
    <row r="582" spans="1:18" s="148" customFormat="1" x14ac:dyDescent="0.3">
      <c r="A582" s="38"/>
      <c r="B582" s="38"/>
      <c r="C582" s="23"/>
      <c r="D582" s="23"/>
      <c r="E582" s="23"/>
      <c r="F582" s="101"/>
      <c r="G582" s="101"/>
      <c r="H582" s="101"/>
      <c r="I582" s="101"/>
      <c r="K582" s="228"/>
      <c r="L582" s="38"/>
      <c r="N582" s="23"/>
      <c r="O582" s="23"/>
      <c r="P582" s="23"/>
      <c r="Q582" s="23"/>
      <c r="R582" s="23"/>
    </row>
    <row r="583" spans="1:18" s="148" customFormat="1" x14ac:dyDescent="0.3">
      <c r="A583" s="38"/>
      <c r="B583" s="38"/>
      <c r="C583" s="23"/>
      <c r="D583" s="23"/>
      <c r="E583" s="23"/>
      <c r="F583" s="101"/>
      <c r="G583" s="101"/>
      <c r="H583" s="101"/>
      <c r="I583" s="101"/>
      <c r="K583" s="228"/>
      <c r="L583" s="38"/>
      <c r="N583" s="23"/>
      <c r="O583" s="23"/>
      <c r="P583" s="23"/>
      <c r="Q583" s="23"/>
      <c r="R583" s="23"/>
    </row>
    <row r="584" spans="1:18" s="148" customFormat="1" x14ac:dyDescent="0.3">
      <c r="A584" s="38"/>
      <c r="B584" s="38"/>
      <c r="C584" s="23"/>
      <c r="D584" s="23"/>
      <c r="E584" s="23"/>
      <c r="F584" s="101"/>
      <c r="G584" s="101"/>
      <c r="H584" s="101"/>
      <c r="I584" s="101"/>
      <c r="K584" s="228"/>
      <c r="L584" s="38"/>
      <c r="N584" s="23"/>
      <c r="O584" s="23"/>
      <c r="P584" s="23"/>
      <c r="Q584" s="23"/>
      <c r="R584" s="23"/>
    </row>
    <row r="585" spans="1:18" s="148" customFormat="1" x14ac:dyDescent="0.3">
      <c r="A585" s="38"/>
      <c r="B585" s="38"/>
      <c r="C585" s="23"/>
      <c r="D585" s="23"/>
      <c r="E585" s="23"/>
      <c r="F585" s="101"/>
      <c r="G585" s="101"/>
      <c r="H585" s="101"/>
      <c r="I585" s="101"/>
      <c r="K585" s="228"/>
      <c r="L585" s="38"/>
      <c r="N585" s="23"/>
      <c r="O585" s="23"/>
      <c r="P585" s="23"/>
      <c r="Q585" s="23"/>
      <c r="R585" s="23"/>
    </row>
    <row r="586" spans="1:18" s="148" customFormat="1" x14ac:dyDescent="0.3">
      <c r="A586" s="38"/>
      <c r="B586" s="38"/>
      <c r="C586" s="23"/>
      <c r="D586" s="23"/>
      <c r="E586" s="23"/>
      <c r="F586" s="101"/>
      <c r="G586" s="101"/>
      <c r="H586" s="101"/>
      <c r="I586" s="101"/>
      <c r="K586" s="228"/>
      <c r="L586" s="38"/>
      <c r="N586" s="23"/>
      <c r="O586" s="23"/>
      <c r="P586" s="23"/>
      <c r="Q586" s="23"/>
      <c r="R586" s="23"/>
    </row>
    <row r="587" spans="1:18" s="148" customFormat="1" x14ac:dyDescent="0.3">
      <c r="A587" s="38"/>
      <c r="B587" s="38"/>
      <c r="C587" s="23"/>
      <c r="D587" s="23"/>
      <c r="E587" s="23"/>
      <c r="F587" s="101"/>
      <c r="G587" s="101"/>
      <c r="H587" s="101"/>
      <c r="I587" s="101"/>
      <c r="K587" s="228"/>
      <c r="L587" s="38"/>
      <c r="N587" s="23"/>
      <c r="O587" s="23"/>
      <c r="P587" s="23"/>
      <c r="Q587" s="23"/>
      <c r="R587" s="23"/>
    </row>
    <row r="588" spans="1:18" s="148" customFormat="1" x14ac:dyDescent="0.3">
      <c r="A588" s="38"/>
      <c r="B588" s="38"/>
      <c r="C588" s="23"/>
      <c r="D588" s="23"/>
      <c r="E588" s="23"/>
      <c r="F588" s="101"/>
      <c r="G588" s="101"/>
      <c r="H588" s="101"/>
      <c r="I588" s="101"/>
      <c r="K588" s="228"/>
      <c r="L588" s="38"/>
      <c r="N588" s="23"/>
      <c r="O588" s="23"/>
      <c r="P588" s="23"/>
      <c r="Q588" s="23"/>
      <c r="R588" s="23"/>
    </row>
    <row r="589" spans="1:18" s="148" customFormat="1" x14ac:dyDescent="0.3">
      <c r="A589" s="38"/>
      <c r="B589" s="38"/>
      <c r="C589" s="23"/>
      <c r="D589" s="23"/>
      <c r="E589" s="23"/>
      <c r="F589" s="101"/>
      <c r="G589" s="101"/>
      <c r="H589" s="101"/>
      <c r="I589" s="101"/>
      <c r="K589" s="228"/>
      <c r="L589" s="38"/>
      <c r="N589" s="23"/>
      <c r="O589" s="23"/>
      <c r="P589" s="23"/>
      <c r="Q589" s="23"/>
      <c r="R589" s="23"/>
    </row>
    <row r="590" spans="1:18" s="148" customFormat="1" x14ac:dyDescent="0.3">
      <c r="A590" s="38"/>
      <c r="B590" s="38"/>
      <c r="C590" s="23"/>
      <c r="D590" s="23"/>
      <c r="E590" s="23"/>
      <c r="F590" s="101"/>
      <c r="G590" s="101"/>
      <c r="H590" s="101"/>
      <c r="I590" s="101"/>
      <c r="K590" s="228"/>
      <c r="L590" s="38"/>
      <c r="N590" s="23"/>
      <c r="O590" s="23"/>
      <c r="P590" s="23"/>
      <c r="Q590" s="23"/>
      <c r="R590" s="23"/>
    </row>
    <row r="591" spans="1:18" s="148" customFormat="1" x14ac:dyDescent="0.3">
      <c r="A591" s="38"/>
      <c r="B591" s="38"/>
      <c r="C591" s="23"/>
      <c r="D591" s="23"/>
      <c r="E591" s="23"/>
      <c r="F591" s="101"/>
      <c r="G591" s="101"/>
      <c r="H591" s="101"/>
      <c r="I591" s="101"/>
      <c r="K591" s="228"/>
      <c r="L591" s="38"/>
      <c r="N591" s="23"/>
      <c r="O591" s="23"/>
      <c r="P591" s="23"/>
      <c r="Q591" s="23"/>
      <c r="R591" s="23"/>
    </row>
    <row r="592" spans="1:18" s="148" customFormat="1" x14ac:dyDescent="0.3">
      <c r="A592" s="38"/>
      <c r="B592" s="38"/>
      <c r="C592" s="23"/>
      <c r="D592" s="23"/>
      <c r="E592" s="23"/>
      <c r="F592" s="101"/>
      <c r="G592" s="101"/>
      <c r="H592" s="101"/>
      <c r="I592" s="101"/>
      <c r="K592" s="228"/>
      <c r="L592" s="38"/>
      <c r="N592" s="23"/>
      <c r="O592" s="23"/>
      <c r="P592" s="23"/>
      <c r="Q592" s="23"/>
      <c r="R592" s="23"/>
    </row>
    <row r="593" spans="1:18" s="148" customFormat="1" x14ac:dyDescent="0.3">
      <c r="A593" s="38"/>
      <c r="B593" s="38"/>
      <c r="C593" s="23"/>
      <c r="D593" s="23"/>
      <c r="E593" s="23"/>
      <c r="F593" s="101"/>
      <c r="G593" s="101"/>
      <c r="H593" s="101"/>
      <c r="I593" s="101"/>
      <c r="K593" s="228"/>
      <c r="L593" s="38"/>
      <c r="N593" s="23"/>
      <c r="O593" s="23"/>
      <c r="P593" s="23"/>
      <c r="Q593" s="23"/>
      <c r="R593" s="23"/>
    </row>
    <row r="594" spans="1:18" s="148" customFormat="1" x14ac:dyDescent="0.3">
      <c r="A594" s="38"/>
      <c r="B594" s="38"/>
      <c r="C594" s="23"/>
      <c r="D594" s="23"/>
      <c r="E594" s="23"/>
      <c r="F594" s="101"/>
      <c r="G594" s="101"/>
      <c r="H594" s="101"/>
      <c r="I594" s="101"/>
      <c r="K594" s="228"/>
      <c r="L594" s="38"/>
      <c r="N594" s="23"/>
      <c r="O594" s="23"/>
      <c r="P594" s="23"/>
      <c r="Q594" s="23"/>
      <c r="R594" s="23"/>
    </row>
    <row r="595" spans="1:18" s="148" customFormat="1" x14ac:dyDescent="0.3">
      <c r="A595" s="38"/>
      <c r="B595" s="38"/>
      <c r="C595" s="23"/>
      <c r="D595" s="23"/>
      <c r="E595" s="23"/>
      <c r="F595" s="101"/>
      <c r="G595" s="101"/>
      <c r="H595" s="101"/>
      <c r="I595" s="101"/>
      <c r="K595" s="228"/>
      <c r="L595" s="38"/>
      <c r="N595" s="23"/>
      <c r="O595" s="23"/>
      <c r="P595" s="23"/>
      <c r="Q595" s="23"/>
      <c r="R595" s="23"/>
    </row>
    <row r="596" spans="1:18" s="148" customFormat="1" x14ac:dyDescent="0.3">
      <c r="A596" s="38"/>
      <c r="B596" s="38"/>
      <c r="C596" s="23"/>
      <c r="D596" s="23"/>
      <c r="E596" s="23"/>
      <c r="F596" s="101"/>
      <c r="G596" s="101"/>
      <c r="H596" s="101"/>
      <c r="I596" s="101"/>
      <c r="K596" s="228"/>
      <c r="L596" s="38"/>
      <c r="N596" s="23"/>
      <c r="O596" s="23"/>
      <c r="P596" s="23"/>
      <c r="Q596" s="23"/>
      <c r="R596" s="23"/>
    </row>
    <row r="597" spans="1:18" s="148" customFormat="1" x14ac:dyDescent="0.3">
      <c r="A597" s="38"/>
      <c r="B597" s="38"/>
      <c r="C597" s="23"/>
      <c r="D597" s="23"/>
      <c r="E597" s="23"/>
      <c r="F597" s="101"/>
      <c r="G597" s="101"/>
      <c r="H597" s="101"/>
      <c r="I597" s="101"/>
      <c r="K597" s="228"/>
      <c r="L597" s="38"/>
      <c r="N597" s="23"/>
      <c r="O597" s="23"/>
      <c r="P597" s="23"/>
      <c r="Q597" s="23"/>
      <c r="R597" s="23"/>
    </row>
    <row r="598" spans="1:18" s="148" customFormat="1" x14ac:dyDescent="0.3">
      <c r="A598" s="38"/>
      <c r="B598" s="38"/>
      <c r="C598" s="23"/>
      <c r="D598" s="23"/>
      <c r="E598" s="23"/>
      <c r="F598" s="101"/>
      <c r="G598" s="101"/>
      <c r="H598" s="101"/>
      <c r="I598" s="101"/>
      <c r="K598" s="228"/>
      <c r="L598" s="38"/>
      <c r="N598" s="23"/>
      <c r="O598" s="23"/>
      <c r="P598" s="23"/>
      <c r="Q598" s="23"/>
      <c r="R598" s="23"/>
    </row>
    <row r="599" spans="1:18" s="148" customFormat="1" x14ac:dyDescent="0.3">
      <c r="A599" s="38"/>
      <c r="B599" s="38"/>
      <c r="C599" s="23"/>
      <c r="D599" s="23"/>
      <c r="E599" s="23"/>
      <c r="F599" s="101"/>
      <c r="G599" s="101"/>
      <c r="H599" s="101"/>
      <c r="I599" s="101"/>
      <c r="K599" s="228"/>
      <c r="L599" s="38"/>
      <c r="N599" s="23"/>
      <c r="O599" s="23"/>
      <c r="P599" s="23"/>
      <c r="Q599" s="23"/>
      <c r="R599" s="23"/>
    </row>
    <row r="600" spans="1:18" s="148" customFormat="1" x14ac:dyDescent="0.3">
      <c r="A600" s="38"/>
      <c r="B600" s="38"/>
      <c r="C600" s="23"/>
      <c r="D600" s="23"/>
      <c r="E600" s="23"/>
      <c r="F600" s="101"/>
      <c r="G600" s="101"/>
      <c r="H600" s="101"/>
      <c r="I600" s="101"/>
      <c r="K600" s="228"/>
      <c r="L600" s="38"/>
      <c r="N600" s="23"/>
      <c r="O600" s="23"/>
      <c r="P600" s="23"/>
      <c r="Q600" s="23"/>
      <c r="R600" s="23"/>
    </row>
    <row r="601" spans="1:18" s="148" customFormat="1" x14ac:dyDescent="0.3">
      <c r="A601" s="38"/>
      <c r="B601" s="38"/>
      <c r="C601" s="23"/>
      <c r="D601" s="23"/>
      <c r="E601" s="23"/>
      <c r="F601" s="101"/>
      <c r="G601" s="101"/>
      <c r="H601" s="101"/>
      <c r="I601" s="101"/>
      <c r="K601" s="228"/>
      <c r="L601" s="38"/>
      <c r="N601" s="23"/>
      <c r="O601" s="23"/>
      <c r="P601" s="23"/>
      <c r="Q601" s="23"/>
      <c r="R601" s="23"/>
    </row>
    <row r="602" spans="1:18" s="148" customFormat="1" x14ac:dyDescent="0.3">
      <c r="A602" s="38"/>
      <c r="B602" s="38"/>
      <c r="C602" s="23"/>
      <c r="D602" s="23"/>
      <c r="E602" s="23"/>
      <c r="F602" s="101"/>
      <c r="G602" s="101"/>
      <c r="H602" s="101"/>
      <c r="I602" s="101"/>
      <c r="K602" s="228"/>
      <c r="L602" s="38"/>
      <c r="N602" s="23"/>
      <c r="O602" s="23"/>
      <c r="P602" s="23"/>
      <c r="Q602" s="23"/>
      <c r="R602" s="23"/>
    </row>
    <row r="603" spans="1:18" s="148" customFormat="1" x14ac:dyDescent="0.3">
      <c r="A603" s="38"/>
      <c r="B603" s="38"/>
      <c r="C603" s="23"/>
      <c r="D603" s="23"/>
      <c r="E603" s="23"/>
      <c r="F603" s="101"/>
      <c r="G603" s="101"/>
      <c r="H603" s="101"/>
      <c r="I603" s="101"/>
      <c r="K603" s="228"/>
      <c r="L603" s="38"/>
      <c r="N603" s="23"/>
      <c r="O603" s="23"/>
      <c r="P603" s="23"/>
      <c r="Q603" s="23"/>
      <c r="R603" s="23"/>
    </row>
    <row r="604" spans="1:18" s="148" customFormat="1" x14ac:dyDescent="0.3">
      <c r="A604" s="38"/>
      <c r="B604" s="38"/>
      <c r="C604" s="23"/>
      <c r="D604" s="23"/>
      <c r="E604" s="23"/>
      <c r="F604" s="101"/>
      <c r="G604" s="101"/>
      <c r="H604" s="101"/>
      <c r="I604" s="101"/>
      <c r="K604" s="228"/>
      <c r="L604" s="38"/>
      <c r="N604" s="23"/>
      <c r="O604" s="23"/>
      <c r="P604" s="23"/>
      <c r="Q604" s="23"/>
      <c r="R604" s="23"/>
    </row>
    <row r="605" spans="1:18" s="148" customFormat="1" x14ac:dyDescent="0.3">
      <c r="A605" s="38"/>
      <c r="B605" s="38"/>
      <c r="C605" s="23"/>
      <c r="D605" s="23"/>
      <c r="E605" s="23"/>
      <c r="F605" s="101"/>
      <c r="G605" s="101"/>
      <c r="H605" s="101"/>
      <c r="I605" s="101"/>
      <c r="K605" s="228"/>
      <c r="L605" s="38"/>
      <c r="N605" s="23"/>
      <c r="O605" s="23"/>
      <c r="P605" s="23"/>
      <c r="Q605" s="23"/>
      <c r="R605" s="23"/>
    </row>
    <row r="606" spans="1:18" s="148" customFormat="1" x14ac:dyDescent="0.3">
      <c r="A606" s="38"/>
      <c r="B606" s="38"/>
      <c r="C606" s="23"/>
      <c r="D606" s="23"/>
      <c r="E606" s="23"/>
      <c r="F606" s="101"/>
      <c r="G606" s="101"/>
      <c r="H606" s="101"/>
      <c r="I606" s="101"/>
      <c r="K606" s="228"/>
      <c r="L606" s="38"/>
      <c r="N606" s="23"/>
      <c r="O606" s="23"/>
      <c r="P606" s="23"/>
      <c r="Q606" s="23"/>
      <c r="R606" s="23"/>
    </row>
    <row r="607" spans="1:18" s="148" customFormat="1" x14ac:dyDescent="0.3">
      <c r="A607" s="38"/>
      <c r="B607" s="38"/>
      <c r="C607" s="23"/>
      <c r="D607" s="23"/>
      <c r="E607" s="23"/>
      <c r="F607" s="101"/>
      <c r="G607" s="101"/>
      <c r="H607" s="101"/>
      <c r="I607" s="101"/>
      <c r="K607" s="228"/>
      <c r="L607" s="38"/>
      <c r="N607" s="23"/>
      <c r="O607" s="23"/>
      <c r="P607" s="23"/>
      <c r="Q607" s="23"/>
      <c r="R607" s="23"/>
    </row>
    <row r="608" spans="1:18" s="148" customFormat="1" x14ac:dyDescent="0.3">
      <c r="A608" s="38"/>
      <c r="B608" s="38"/>
      <c r="C608" s="23"/>
      <c r="D608" s="23"/>
      <c r="E608" s="23"/>
      <c r="F608" s="101"/>
      <c r="G608" s="101"/>
      <c r="H608" s="101"/>
      <c r="I608" s="101"/>
      <c r="K608" s="228"/>
      <c r="L608" s="38"/>
      <c r="N608" s="23"/>
      <c r="O608" s="23"/>
      <c r="P608" s="23"/>
      <c r="Q608" s="23"/>
      <c r="R608" s="23"/>
    </row>
    <row r="609" spans="1:18" s="148" customFormat="1" x14ac:dyDescent="0.3">
      <c r="A609" s="38"/>
      <c r="B609" s="38"/>
      <c r="C609" s="23"/>
      <c r="D609" s="23"/>
      <c r="E609" s="23"/>
      <c r="F609" s="101"/>
      <c r="G609" s="101"/>
      <c r="H609" s="101"/>
      <c r="I609" s="101"/>
      <c r="K609" s="228"/>
      <c r="L609" s="38"/>
      <c r="N609" s="23"/>
      <c r="O609" s="23"/>
      <c r="P609" s="23"/>
      <c r="Q609" s="23"/>
      <c r="R609" s="23"/>
    </row>
    <row r="610" spans="1:18" s="148" customFormat="1" x14ac:dyDescent="0.3">
      <c r="A610" s="38"/>
      <c r="B610" s="38"/>
      <c r="C610" s="23"/>
      <c r="D610" s="23"/>
      <c r="E610" s="23"/>
      <c r="F610" s="101"/>
      <c r="G610" s="101"/>
      <c r="H610" s="101"/>
      <c r="I610" s="101"/>
      <c r="K610" s="228"/>
      <c r="L610" s="38"/>
      <c r="N610" s="23"/>
      <c r="O610" s="23"/>
      <c r="P610" s="23"/>
      <c r="Q610" s="23"/>
      <c r="R610" s="23"/>
    </row>
    <row r="611" spans="1:18" s="148" customFormat="1" x14ac:dyDescent="0.3">
      <c r="A611" s="38"/>
      <c r="B611" s="38"/>
      <c r="C611" s="23"/>
      <c r="D611" s="23"/>
      <c r="E611" s="23"/>
      <c r="F611" s="101"/>
      <c r="G611" s="101"/>
      <c r="H611" s="101"/>
      <c r="I611" s="101"/>
      <c r="K611" s="228"/>
      <c r="L611" s="38"/>
      <c r="N611" s="23"/>
      <c r="O611" s="23"/>
      <c r="P611" s="23"/>
      <c r="Q611" s="23"/>
      <c r="R611" s="23"/>
    </row>
    <row r="612" spans="1:18" s="148" customFormat="1" x14ac:dyDescent="0.3">
      <c r="A612" s="38"/>
      <c r="B612" s="38"/>
      <c r="C612" s="23"/>
      <c r="D612" s="23"/>
      <c r="E612" s="23"/>
      <c r="F612" s="101"/>
      <c r="G612" s="101"/>
      <c r="H612" s="101"/>
      <c r="I612" s="101"/>
      <c r="K612" s="228"/>
      <c r="L612" s="38"/>
      <c r="N612" s="23"/>
      <c r="O612" s="23"/>
      <c r="P612" s="23"/>
      <c r="Q612" s="23"/>
      <c r="R612" s="23"/>
    </row>
    <row r="613" spans="1:18" s="148" customFormat="1" x14ac:dyDescent="0.3">
      <c r="A613" s="38"/>
      <c r="B613" s="38"/>
      <c r="C613" s="23"/>
      <c r="D613" s="23"/>
      <c r="E613" s="23"/>
      <c r="F613" s="101"/>
      <c r="G613" s="101"/>
      <c r="H613" s="101"/>
      <c r="I613" s="101"/>
      <c r="K613" s="228"/>
      <c r="L613" s="38"/>
      <c r="N613" s="23"/>
      <c r="O613" s="23"/>
      <c r="P613" s="23"/>
      <c r="Q613" s="23"/>
      <c r="R613" s="23"/>
    </row>
    <row r="614" spans="1:18" s="148" customFormat="1" x14ac:dyDescent="0.3">
      <c r="A614" s="38"/>
      <c r="B614" s="38"/>
      <c r="C614" s="23"/>
      <c r="D614" s="23"/>
      <c r="E614" s="23"/>
      <c r="F614" s="101"/>
      <c r="G614" s="101"/>
      <c r="H614" s="101"/>
      <c r="I614" s="101"/>
      <c r="K614" s="228"/>
      <c r="L614" s="38"/>
      <c r="N614" s="23"/>
      <c r="O614" s="23"/>
      <c r="P614" s="23"/>
      <c r="Q614" s="23"/>
      <c r="R614" s="23"/>
    </row>
    <row r="615" spans="1:18" s="148" customFormat="1" x14ac:dyDescent="0.3">
      <c r="A615" s="38"/>
      <c r="B615" s="38"/>
      <c r="C615" s="23"/>
      <c r="D615" s="23"/>
      <c r="E615" s="23"/>
      <c r="F615" s="101"/>
      <c r="G615" s="101"/>
      <c r="H615" s="101"/>
      <c r="I615" s="101"/>
      <c r="K615" s="228"/>
      <c r="L615" s="38"/>
      <c r="N615" s="23"/>
      <c r="O615" s="23"/>
      <c r="P615" s="23"/>
      <c r="Q615" s="23"/>
      <c r="R615" s="23"/>
    </row>
    <row r="616" spans="1:18" s="148" customFormat="1" x14ac:dyDescent="0.3">
      <c r="A616" s="38"/>
      <c r="B616" s="38"/>
      <c r="C616" s="23"/>
      <c r="D616" s="23"/>
      <c r="E616" s="23"/>
      <c r="F616" s="101"/>
      <c r="G616" s="101"/>
      <c r="H616" s="101"/>
      <c r="I616" s="101"/>
      <c r="K616" s="228"/>
      <c r="L616" s="38"/>
      <c r="N616" s="23"/>
      <c r="O616" s="23"/>
      <c r="P616" s="23"/>
      <c r="Q616" s="23"/>
      <c r="R616" s="23"/>
    </row>
    <row r="617" spans="1:18" s="148" customFormat="1" x14ac:dyDescent="0.3">
      <c r="A617" s="38"/>
      <c r="B617" s="38"/>
      <c r="C617" s="23"/>
      <c r="D617" s="23"/>
      <c r="E617" s="23"/>
      <c r="F617" s="101"/>
      <c r="G617" s="101"/>
      <c r="H617" s="101"/>
      <c r="I617" s="101"/>
      <c r="K617" s="228"/>
      <c r="L617" s="38"/>
      <c r="N617" s="23"/>
      <c r="O617" s="23"/>
      <c r="P617" s="23"/>
      <c r="Q617" s="23"/>
      <c r="R617" s="23"/>
    </row>
    <row r="618" spans="1:18" s="148" customFormat="1" x14ac:dyDescent="0.3">
      <c r="A618" s="38"/>
      <c r="B618" s="38"/>
      <c r="C618" s="23"/>
      <c r="D618" s="23"/>
      <c r="E618" s="23"/>
      <c r="F618" s="101"/>
      <c r="G618" s="101"/>
      <c r="H618" s="101"/>
      <c r="I618" s="101"/>
      <c r="K618" s="228"/>
      <c r="L618" s="38"/>
      <c r="N618" s="23"/>
      <c r="O618" s="23"/>
      <c r="P618" s="23"/>
      <c r="Q618" s="23"/>
      <c r="R618" s="23"/>
    </row>
    <row r="619" spans="1:18" s="148" customFormat="1" x14ac:dyDescent="0.3">
      <c r="A619" s="38"/>
      <c r="B619" s="38"/>
      <c r="C619" s="23"/>
      <c r="D619" s="23"/>
      <c r="E619" s="23"/>
      <c r="F619" s="101"/>
      <c r="G619" s="101"/>
      <c r="H619" s="101"/>
      <c r="I619" s="101"/>
      <c r="K619" s="228"/>
      <c r="L619" s="38"/>
      <c r="N619" s="23"/>
      <c r="O619" s="23"/>
      <c r="P619" s="23"/>
      <c r="Q619" s="23"/>
      <c r="R619" s="23"/>
    </row>
    <row r="620" spans="1:18" s="148" customFormat="1" x14ac:dyDescent="0.3">
      <c r="A620" s="38"/>
      <c r="B620" s="38"/>
      <c r="C620" s="23"/>
      <c r="D620" s="23"/>
      <c r="E620" s="23"/>
      <c r="F620" s="101"/>
      <c r="G620" s="101"/>
      <c r="H620" s="101"/>
      <c r="I620" s="101"/>
      <c r="K620" s="228"/>
      <c r="L620" s="38"/>
      <c r="N620" s="23"/>
      <c r="O620" s="23"/>
      <c r="P620" s="23"/>
      <c r="Q620" s="23"/>
      <c r="R620" s="23"/>
    </row>
    <row r="621" spans="1:18" s="148" customFormat="1" x14ac:dyDescent="0.3">
      <c r="A621" s="38"/>
      <c r="B621" s="38"/>
      <c r="C621" s="23"/>
      <c r="D621" s="23"/>
      <c r="E621" s="23"/>
      <c r="F621" s="101"/>
      <c r="G621" s="101"/>
      <c r="H621" s="101"/>
      <c r="I621" s="101"/>
      <c r="K621" s="228"/>
      <c r="L621" s="38"/>
      <c r="N621" s="23"/>
      <c r="O621" s="23"/>
      <c r="P621" s="23"/>
      <c r="Q621" s="23"/>
      <c r="R621" s="23"/>
    </row>
    <row r="622" spans="1:18" s="148" customFormat="1" x14ac:dyDescent="0.3">
      <c r="A622" s="38"/>
      <c r="B622" s="38"/>
      <c r="C622" s="23"/>
      <c r="D622" s="23"/>
      <c r="E622" s="23"/>
      <c r="F622" s="101"/>
      <c r="G622" s="101"/>
      <c r="H622" s="101"/>
      <c r="I622" s="101"/>
      <c r="K622" s="228"/>
      <c r="L622" s="38"/>
      <c r="N622" s="23"/>
      <c r="O622" s="23"/>
      <c r="P622" s="23"/>
      <c r="Q622" s="23"/>
      <c r="R622" s="23"/>
    </row>
    <row r="623" spans="1:18" s="148" customFormat="1" x14ac:dyDescent="0.3">
      <c r="A623" s="38"/>
      <c r="B623" s="38"/>
      <c r="C623" s="23"/>
      <c r="D623" s="23"/>
      <c r="E623" s="23"/>
      <c r="F623" s="101"/>
      <c r="G623" s="101"/>
      <c r="H623" s="101"/>
      <c r="I623" s="101"/>
      <c r="K623" s="228"/>
      <c r="L623" s="38"/>
      <c r="N623" s="23"/>
      <c r="O623" s="23"/>
      <c r="P623" s="23"/>
      <c r="Q623" s="23"/>
      <c r="R623" s="23"/>
    </row>
    <row r="624" spans="1:18" s="148" customFormat="1" x14ac:dyDescent="0.3">
      <c r="A624" s="38"/>
      <c r="B624" s="38"/>
      <c r="C624" s="23"/>
      <c r="D624" s="23"/>
      <c r="E624" s="23"/>
      <c r="F624" s="101"/>
      <c r="G624" s="101"/>
      <c r="H624" s="101"/>
      <c r="I624" s="101"/>
      <c r="K624" s="228"/>
      <c r="L624" s="38"/>
      <c r="N624" s="23"/>
      <c r="O624" s="23"/>
      <c r="P624" s="23"/>
      <c r="Q624" s="23"/>
      <c r="R624" s="23"/>
    </row>
    <row r="625" spans="1:18" s="148" customFormat="1" x14ac:dyDescent="0.3">
      <c r="A625" s="38"/>
      <c r="B625" s="38"/>
      <c r="C625" s="23"/>
      <c r="D625" s="23"/>
      <c r="E625" s="23"/>
      <c r="F625" s="101"/>
      <c r="G625" s="101"/>
      <c r="H625" s="101"/>
      <c r="I625" s="101"/>
      <c r="K625" s="228"/>
      <c r="L625" s="38"/>
      <c r="N625" s="23"/>
      <c r="O625" s="23"/>
      <c r="P625" s="23"/>
      <c r="Q625" s="23"/>
      <c r="R625" s="23"/>
    </row>
    <row r="626" spans="1:18" s="148" customFormat="1" x14ac:dyDescent="0.3">
      <c r="A626" s="38"/>
      <c r="B626" s="38"/>
      <c r="C626" s="23"/>
      <c r="D626" s="23"/>
      <c r="E626" s="23"/>
      <c r="F626" s="101"/>
      <c r="G626" s="101"/>
      <c r="H626" s="101"/>
      <c r="I626" s="101"/>
      <c r="K626" s="228"/>
      <c r="L626" s="38"/>
      <c r="N626" s="23"/>
      <c r="O626" s="23"/>
      <c r="P626" s="23"/>
      <c r="Q626" s="23"/>
      <c r="R626" s="23"/>
    </row>
    <row r="627" spans="1:18" s="148" customFormat="1" x14ac:dyDescent="0.3">
      <c r="A627" s="38"/>
      <c r="B627" s="38"/>
      <c r="C627" s="23"/>
      <c r="D627" s="23"/>
      <c r="E627" s="23"/>
      <c r="F627" s="101"/>
      <c r="G627" s="101"/>
      <c r="H627" s="101"/>
      <c r="I627" s="101"/>
      <c r="K627" s="228"/>
      <c r="L627" s="38"/>
      <c r="N627" s="23"/>
      <c r="O627" s="23"/>
      <c r="P627" s="23"/>
      <c r="Q627" s="23"/>
      <c r="R627" s="23"/>
    </row>
    <row r="628" spans="1:18" s="148" customFormat="1" x14ac:dyDescent="0.3">
      <c r="A628" s="38"/>
      <c r="B628" s="38"/>
      <c r="C628" s="23"/>
      <c r="D628" s="23"/>
      <c r="E628" s="23"/>
      <c r="F628" s="101"/>
      <c r="G628" s="101"/>
      <c r="H628" s="101"/>
      <c r="I628" s="101"/>
      <c r="K628" s="228"/>
      <c r="L628" s="38"/>
      <c r="N628" s="23"/>
      <c r="O628" s="23"/>
      <c r="P628" s="23"/>
      <c r="Q628" s="23"/>
      <c r="R628" s="23"/>
    </row>
    <row r="629" spans="1:18" s="148" customFormat="1" x14ac:dyDescent="0.3">
      <c r="A629" s="38"/>
      <c r="B629" s="38"/>
      <c r="C629" s="23"/>
      <c r="D629" s="23"/>
      <c r="E629" s="23"/>
      <c r="F629" s="101"/>
      <c r="G629" s="101"/>
      <c r="H629" s="101"/>
      <c r="I629" s="101"/>
      <c r="K629" s="228"/>
      <c r="L629" s="38"/>
      <c r="N629" s="23"/>
      <c r="O629" s="23"/>
      <c r="P629" s="23"/>
      <c r="Q629" s="23"/>
      <c r="R629" s="23"/>
    </row>
    <row r="630" spans="1:18" s="148" customFormat="1" x14ac:dyDescent="0.3">
      <c r="A630" s="38"/>
      <c r="B630" s="38"/>
      <c r="C630" s="23"/>
      <c r="D630" s="23"/>
      <c r="E630" s="23"/>
      <c r="F630" s="101"/>
      <c r="G630" s="101"/>
      <c r="H630" s="101"/>
      <c r="I630" s="101"/>
      <c r="K630" s="228"/>
      <c r="L630" s="38"/>
      <c r="N630" s="23"/>
      <c r="O630" s="23"/>
      <c r="P630" s="23"/>
      <c r="Q630" s="23"/>
      <c r="R630" s="23"/>
    </row>
    <row r="631" spans="1:18" s="148" customFormat="1" x14ac:dyDescent="0.3">
      <c r="A631" s="38"/>
      <c r="B631" s="38"/>
      <c r="C631" s="23"/>
      <c r="D631" s="23"/>
      <c r="E631" s="23"/>
      <c r="F631" s="101"/>
      <c r="G631" s="101"/>
      <c r="H631" s="101"/>
      <c r="I631" s="101"/>
      <c r="K631" s="228"/>
      <c r="L631" s="38"/>
      <c r="N631" s="23"/>
      <c r="O631" s="23"/>
      <c r="P631" s="23"/>
      <c r="Q631" s="23"/>
      <c r="R631" s="23"/>
    </row>
    <row r="632" spans="1:18" s="148" customFormat="1" x14ac:dyDescent="0.3">
      <c r="A632" s="38"/>
      <c r="B632" s="38"/>
      <c r="C632" s="23"/>
      <c r="D632" s="23"/>
      <c r="E632" s="23"/>
      <c r="F632" s="101"/>
      <c r="G632" s="101"/>
      <c r="H632" s="101"/>
      <c r="I632" s="101"/>
      <c r="K632" s="228"/>
      <c r="L632" s="38"/>
      <c r="N632" s="23"/>
      <c r="O632" s="23"/>
      <c r="P632" s="23"/>
      <c r="Q632" s="23"/>
      <c r="R632" s="23"/>
    </row>
    <row r="633" spans="1:18" s="148" customFormat="1" x14ac:dyDescent="0.3">
      <c r="A633" s="38"/>
      <c r="B633" s="38"/>
      <c r="C633" s="23"/>
      <c r="D633" s="23"/>
      <c r="E633" s="23"/>
      <c r="F633" s="101"/>
      <c r="G633" s="101"/>
      <c r="H633" s="101"/>
      <c r="I633" s="101"/>
      <c r="K633" s="228"/>
      <c r="L633" s="38"/>
      <c r="N633" s="23"/>
      <c r="O633" s="23"/>
      <c r="P633" s="23"/>
      <c r="Q633" s="23"/>
      <c r="R633" s="23"/>
    </row>
    <row r="634" spans="1:18" s="148" customFormat="1" x14ac:dyDescent="0.3">
      <c r="A634" s="38"/>
      <c r="B634" s="38"/>
      <c r="C634" s="23"/>
      <c r="D634" s="23"/>
      <c r="E634" s="23"/>
      <c r="F634" s="101"/>
      <c r="G634" s="101"/>
      <c r="H634" s="101"/>
      <c r="I634" s="101"/>
      <c r="K634" s="228"/>
      <c r="L634" s="38"/>
      <c r="N634" s="23"/>
      <c r="O634" s="23"/>
      <c r="P634" s="23"/>
      <c r="Q634" s="23"/>
      <c r="R634" s="23"/>
    </row>
    <row r="635" spans="1:18" s="148" customFormat="1" x14ac:dyDescent="0.3">
      <c r="A635" s="38"/>
      <c r="B635" s="38"/>
      <c r="C635" s="23"/>
      <c r="D635" s="23"/>
      <c r="E635" s="23"/>
      <c r="F635" s="101"/>
      <c r="G635" s="101"/>
      <c r="H635" s="101"/>
      <c r="I635" s="101"/>
      <c r="K635" s="228"/>
      <c r="L635" s="38"/>
      <c r="N635" s="23"/>
      <c r="O635" s="23"/>
      <c r="P635" s="23"/>
      <c r="Q635" s="23"/>
      <c r="R635" s="23"/>
    </row>
    <row r="636" spans="1:18" s="148" customFormat="1" x14ac:dyDescent="0.3">
      <c r="A636" s="38"/>
      <c r="B636" s="38"/>
      <c r="C636" s="23"/>
      <c r="D636" s="23"/>
      <c r="E636" s="23"/>
      <c r="F636" s="101"/>
      <c r="G636" s="101"/>
      <c r="H636" s="101"/>
      <c r="I636" s="101"/>
      <c r="K636" s="228"/>
      <c r="L636" s="38"/>
      <c r="N636" s="23"/>
      <c r="O636" s="23"/>
      <c r="P636" s="23"/>
      <c r="Q636" s="23"/>
      <c r="R636" s="23"/>
    </row>
    <row r="637" spans="1:18" s="148" customFormat="1" x14ac:dyDescent="0.3">
      <c r="A637" s="38"/>
      <c r="B637" s="38"/>
      <c r="C637" s="23"/>
      <c r="D637" s="23"/>
      <c r="E637" s="23"/>
      <c r="F637" s="101"/>
      <c r="G637" s="101"/>
      <c r="H637" s="101"/>
      <c r="I637" s="101"/>
      <c r="K637" s="228"/>
      <c r="L637" s="38"/>
      <c r="N637" s="23"/>
      <c r="O637" s="23"/>
      <c r="P637" s="23"/>
      <c r="Q637" s="23"/>
      <c r="R637" s="23"/>
    </row>
    <row r="638" spans="1:18" s="148" customFormat="1" x14ac:dyDescent="0.3">
      <c r="A638" s="38"/>
      <c r="B638" s="38"/>
      <c r="C638" s="23"/>
      <c r="D638" s="23"/>
      <c r="E638" s="23"/>
      <c r="F638" s="101"/>
      <c r="G638" s="101"/>
      <c r="H638" s="101"/>
      <c r="I638" s="101"/>
      <c r="K638" s="228"/>
      <c r="L638" s="38"/>
      <c r="N638" s="23"/>
      <c r="O638" s="23"/>
      <c r="P638" s="23"/>
      <c r="Q638" s="23"/>
      <c r="R638" s="23"/>
    </row>
    <row r="639" spans="1:18" s="148" customFormat="1" x14ac:dyDescent="0.3">
      <c r="A639" s="38"/>
      <c r="B639" s="38"/>
      <c r="C639" s="23"/>
      <c r="D639" s="23"/>
      <c r="E639" s="23"/>
      <c r="F639" s="101"/>
      <c r="G639" s="101"/>
      <c r="H639" s="101"/>
      <c r="I639" s="101"/>
      <c r="K639" s="228"/>
      <c r="L639" s="38"/>
      <c r="N639" s="23"/>
      <c r="O639" s="23"/>
      <c r="P639" s="23"/>
      <c r="Q639" s="23"/>
      <c r="R639" s="23"/>
    </row>
    <row r="640" spans="1:18" s="148" customFormat="1" x14ac:dyDescent="0.3">
      <c r="A640" s="38"/>
      <c r="B640" s="38"/>
      <c r="C640" s="23"/>
      <c r="D640" s="23"/>
      <c r="E640" s="23"/>
      <c r="F640" s="101"/>
      <c r="G640" s="101"/>
      <c r="H640" s="101"/>
      <c r="I640" s="101"/>
      <c r="K640" s="228"/>
      <c r="L640" s="38"/>
      <c r="N640" s="23"/>
      <c r="O640" s="23"/>
      <c r="P640" s="23"/>
      <c r="Q640" s="23"/>
      <c r="R640" s="23"/>
    </row>
    <row r="641" spans="1:18" s="148" customFormat="1" x14ac:dyDescent="0.3">
      <c r="A641" s="38"/>
      <c r="B641" s="38"/>
      <c r="C641" s="23"/>
      <c r="D641" s="23"/>
      <c r="E641" s="23"/>
      <c r="F641" s="101"/>
      <c r="G641" s="101"/>
      <c r="H641" s="101"/>
      <c r="I641" s="101"/>
      <c r="K641" s="228"/>
      <c r="L641" s="38"/>
      <c r="N641" s="23"/>
      <c r="O641" s="23"/>
      <c r="P641" s="23"/>
      <c r="Q641" s="23"/>
      <c r="R641" s="23"/>
    </row>
    <row r="642" spans="1:18" s="148" customFormat="1" x14ac:dyDescent="0.3">
      <c r="A642" s="38"/>
      <c r="B642" s="38"/>
      <c r="C642" s="23"/>
      <c r="D642" s="23"/>
      <c r="E642" s="23"/>
      <c r="F642" s="101"/>
      <c r="G642" s="101"/>
      <c r="H642" s="101"/>
      <c r="I642" s="101"/>
      <c r="K642" s="228"/>
      <c r="L642" s="38"/>
      <c r="N642" s="23"/>
      <c r="O642" s="23"/>
      <c r="P642" s="23"/>
      <c r="Q642" s="23"/>
      <c r="R642" s="23"/>
    </row>
    <row r="643" spans="1:18" s="148" customFormat="1" x14ac:dyDescent="0.3">
      <c r="A643" s="38"/>
      <c r="B643" s="38"/>
      <c r="C643" s="23"/>
      <c r="D643" s="23"/>
      <c r="E643" s="23"/>
      <c r="F643" s="101"/>
      <c r="G643" s="101"/>
      <c r="H643" s="101"/>
      <c r="I643" s="101"/>
      <c r="K643" s="228"/>
      <c r="L643" s="38"/>
      <c r="N643" s="23"/>
      <c r="O643" s="23"/>
      <c r="P643" s="23"/>
      <c r="Q643" s="23"/>
      <c r="R643" s="23"/>
    </row>
    <row r="644" spans="1:18" s="148" customFormat="1" x14ac:dyDescent="0.3">
      <c r="A644" s="38"/>
      <c r="B644" s="38"/>
      <c r="C644" s="23"/>
      <c r="D644" s="23"/>
      <c r="E644" s="23"/>
      <c r="F644" s="101"/>
      <c r="G644" s="101"/>
      <c r="H644" s="101"/>
      <c r="I644" s="101"/>
      <c r="K644" s="228"/>
      <c r="L644" s="38"/>
      <c r="N644" s="23"/>
      <c r="O644" s="23"/>
      <c r="P644" s="23"/>
      <c r="Q644" s="23"/>
      <c r="R644" s="23"/>
    </row>
    <row r="645" spans="1:18" s="148" customFormat="1" x14ac:dyDescent="0.3">
      <c r="A645" s="38"/>
      <c r="B645" s="38"/>
      <c r="C645" s="23"/>
      <c r="D645" s="23"/>
      <c r="E645" s="23"/>
      <c r="F645" s="101"/>
      <c r="G645" s="101"/>
      <c r="H645" s="101"/>
      <c r="I645" s="101"/>
      <c r="K645" s="228"/>
      <c r="L645" s="38"/>
      <c r="N645" s="23"/>
      <c r="O645" s="23"/>
      <c r="P645" s="23"/>
      <c r="Q645" s="23"/>
      <c r="R645" s="23"/>
    </row>
    <row r="646" spans="1:18" s="148" customFormat="1" x14ac:dyDescent="0.3">
      <c r="A646" s="38"/>
      <c r="B646" s="38"/>
      <c r="C646" s="23"/>
      <c r="D646" s="23"/>
      <c r="E646" s="23"/>
      <c r="F646" s="101"/>
      <c r="G646" s="101"/>
      <c r="H646" s="101"/>
      <c r="I646" s="101"/>
      <c r="K646" s="228"/>
      <c r="L646" s="38"/>
      <c r="N646" s="23"/>
      <c r="O646" s="23"/>
      <c r="P646" s="23"/>
      <c r="Q646" s="23"/>
      <c r="R646" s="23"/>
    </row>
    <row r="647" spans="1:18" s="148" customFormat="1" x14ac:dyDescent="0.3">
      <c r="A647" s="38"/>
      <c r="B647" s="38"/>
      <c r="C647" s="23"/>
      <c r="D647" s="23"/>
      <c r="E647" s="23"/>
      <c r="F647" s="101"/>
      <c r="G647" s="101"/>
      <c r="H647" s="101"/>
      <c r="I647" s="101"/>
      <c r="K647" s="228"/>
      <c r="L647" s="38"/>
      <c r="N647" s="23"/>
      <c r="O647" s="23"/>
      <c r="P647" s="23"/>
      <c r="Q647" s="23"/>
      <c r="R647" s="23"/>
    </row>
    <row r="648" spans="1:18" s="148" customFormat="1" x14ac:dyDescent="0.3">
      <c r="A648" s="38"/>
      <c r="B648" s="38"/>
      <c r="C648" s="23"/>
      <c r="D648" s="23"/>
      <c r="E648" s="23"/>
      <c r="F648" s="101"/>
      <c r="G648" s="101"/>
      <c r="H648" s="101"/>
      <c r="I648" s="101"/>
      <c r="K648" s="228"/>
      <c r="L648" s="38"/>
      <c r="N648" s="23"/>
      <c r="O648" s="23"/>
      <c r="P648" s="23"/>
      <c r="Q648" s="23"/>
      <c r="R648" s="23"/>
    </row>
    <row r="649" spans="1:18" s="148" customFormat="1" x14ac:dyDescent="0.3">
      <c r="A649" s="38"/>
      <c r="B649" s="38"/>
      <c r="C649" s="23"/>
      <c r="D649" s="23"/>
      <c r="E649" s="23"/>
      <c r="F649" s="101"/>
      <c r="G649" s="101"/>
      <c r="H649" s="101"/>
      <c r="I649" s="101"/>
      <c r="K649" s="228"/>
      <c r="L649" s="38"/>
      <c r="N649" s="23"/>
      <c r="O649" s="23"/>
      <c r="P649" s="23"/>
      <c r="Q649" s="23"/>
      <c r="R649" s="23"/>
    </row>
    <row r="650" spans="1:18" s="148" customFormat="1" x14ac:dyDescent="0.3">
      <c r="A650" s="38"/>
      <c r="B650" s="38"/>
      <c r="C650" s="23"/>
      <c r="D650" s="23"/>
      <c r="E650" s="23"/>
      <c r="F650" s="101"/>
      <c r="G650" s="101"/>
      <c r="H650" s="101"/>
      <c r="I650" s="101"/>
      <c r="K650" s="228"/>
      <c r="L650" s="38"/>
      <c r="N650" s="23"/>
      <c r="O650" s="23"/>
      <c r="P650" s="23"/>
      <c r="Q650" s="23"/>
      <c r="R650" s="23"/>
    </row>
    <row r="651" spans="1:18" s="148" customFormat="1" x14ac:dyDescent="0.3">
      <c r="A651" s="38"/>
      <c r="B651" s="38"/>
      <c r="C651" s="23"/>
      <c r="D651" s="23"/>
      <c r="E651" s="23"/>
      <c r="F651" s="101"/>
      <c r="G651" s="101"/>
      <c r="H651" s="101"/>
      <c r="I651" s="101"/>
      <c r="K651" s="228"/>
      <c r="L651" s="38"/>
      <c r="N651" s="23"/>
      <c r="O651" s="23"/>
      <c r="P651" s="23"/>
      <c r="Q651" s="23"/>
      <c r="R651" s="23"/>
    </row>
    <row r="652" spans="1:18" s="148" customFormat="1" x14ac:dyDescent="0.3">
      <c r="A652" s="38"/>
      <c r="B652" s="38"/>
      <c r="C652" s="23"/>
      <c r="D652" s="23"/>
      <c r="E652" s="23"/>
      <c r="F652" s="101"/>
      <c r="G652" s="101"/>
      <c r="H652" s="101"/>
      <c r="I652" s="101"/>
      <c r="K652" s="228"/>
      <c r="L652" s="38"/>
      <c r="N652" s="23"/>
      <c r="O652" s="23"/>
      <c r="P652" s="23"/>
      <c r="Q652" s="23"/>
      <c r="R652" s="23"/>
    </row>
    <row r="653" spans="1:18" s="148" customFormat="1" x14ac:dyDescent="0.3">
      <c r="A653" s="38"/>
      <c r="B653" s="38"/>
      <c r="C653" s="23"/>
      <c r="D653" s="23"/>
      <c r="E653" s="23"/>
      <c r="F653" s="101"/>
      <c r="G653" s="101"/>
      <c r="H653" s="101"/>
      <c r="I653" s="101"/>
      <c r="K653" s="228"/>
      <c r="L653" s="38"/>
      <c r="N653" s="23"/>
      <c r="O653" s="23"/>
      <c r="P653" s="23"/>
      <c r="Q653" s="23"/>
      <c r="R653" s="23"/>
    </row>
    <row r="654" spans="1:18" s="148" customFormat="1" x14ac:dyDescent="0.3">
      <c r="A654" s="38"/>
      <c r="B654" s="38"/>
      <c r="C654" s="23"/>
      <c r="D654" s="23"/>
      <c r="E654" s="23"/>
      <c r="F654" s="101"/>
      <c r="G654" s="101"/>
      <c r="H654" s="101"/>
      <c r="I654" s="101"/>
      <c r="K654" s="228"/>
      <c r="L654" s="38"/>
      <c r="N654" s="23"/>
      <c r="O654" s="23"/>
      <c r="P654" s="23"/>
      <c r="Q654" s="23"/>
      <c r="R654" s="23"/>
    </row>
    <row r="655" spans="1:18" s="148" customFormat="1" x14ac:dyDescent="0.3">
      <c r="A655" s="38"/>
      <c r="B655" s="38"/>
      <c r="C655" s="23"/>
      <c r="D655" s="23"/>
      <c r="E655" s="23"/>
      <c r="F655" s="101"/>
      <c r="G655" s="101"/>
      <c r="H655" s="101"/>
      <c r="I655" s="101"/>
      <c r="K655" s="228"/>
      <c r="L655" s="38"/>
      <c r="N655" s="23"/>
      <c r="O655" s="23"/>
      <c r="P655" s="23"/>
      <c r="Q655" s="23"/>
      <c r="R655" s="23"/>
    </row>
    <row r="656" spans="1:18" s="148" customFormat="1" x14ac:dyDescent="0.3">
      <c r="A656" s="38"/>
      <c r="B656" s="38"/>
      <c r="C656" s="23"/>
      <c r="D656" s="23"/>
      <c r="E656" s="23"/>
      <c r="F656" s="101"/>
      <c r="G656" s="101"/>
      <c r="H656" s="101"/>
      <c r="I656" s="101"/>
      <c r="K656" s="228"/>
      <c r="L656" s="38"/>
      <c r="N656" s="23"/>
      <c r="O656" s="23"/>
      <c r="P656" s="23"/>
      <c r="Q656" s="23"/>
      <c r="R656" s="23"/>
    </row>
    <row r="657" spans="1:18" s="148" customFormat="1" x14ac:dyDescent="0.3">
      <c r="A657" s="38"/>
      <c r="B657" s="38"/>
      <c r="C657" s="23"/>
      <c r="D657" s="23"/>
      <c r="E657" s="23"/>
      <c r="F657" s="101"/>
      <c r="G657" s="101"/>
      <c r="H657" s="101"/>
      <c r="I657" s="101"/>
      <c r="K657" s="228"/>
      <c r="L657" s="38"/>
      <c r="N657" s="23"/>
      <c r="O657" s="23"/>
      <c r="P657" s="23"/>
      <c r="Q657" s="23"/>
      <c r="R657" s="23"/>
    </row>
    <row r="658" spans="1:18" s="148" customFormat="1" x14ac:dyDescent="0.3">
      <c r="A658" s="38"/>
      <c r="B658" s="38"/>
      <c r="C658" s="23"/>
      <c r="D658" s="23"/>
      <c r="E658" s="23"/>
      <c r="F658" s="101"/>
      <c r="G658" s="101"/>
      <c r="H658" s="101"/>
      <c r="I658" s="101"/>
      <c r="K658" s="228"/>
      <c r="L658" s="38"/>
      <c r="N658" s="23"/>
      <c r="O658" s="23"/>
      <c r="P658" s="23"/>
      <c r="Q658" s="23"/>
      <c r="R658" s="23"/>
    </row>
    <row r="659" spans="1:18" s="148" customFormat="1" x14ac:dyDescent="0.3">
      <c r="A659" s="38"/>
      <c r="B659" s="38"/>
      <c r="C659" s="23"/>
      <c r="D659" s="23"/>
      <c r="E659" s="23"/>
      <c r="F659" s="101"/>
      <c r="G659" s="101"/>
      <c r="H659" s="101"/>
      <c r="I659" s="101"/>
      <c r="K659" s="228"/>
      <c r="L659" s="38"/>
      <c r="N659" s="23"/>
      <c r="O659" s="23"/>
      <c r="P659" s="23"/>
      <c r="Q659" s="23"/>
      <c r="R659" s="23"/>
    </row>
    <row r="660" spans="1:18" s="148" customFormat="1" x14ac:dyDescent="0.3">
      <c r="A660" s="38"/>
      <c r="B660" s="38"/>
      <c r="C660" s="23"/>
      <c r="D660" s="23"/>
      <c r="E660" s="23"/>
      <c r="F660" s="101"/>
      <c r="G660" s="101"/>
      <c r="H660" s="101"/>
      <c r="I660" s="101"/>
      <c r="K660" s="228"/>
      <c r="L660" s="38"/>
      <c r="N660" s="23"/>
      <c r="O660" s="23"/>
      <c r="P660" s="23"/>
      <c r="Q660" s="23"/>
      <c r="R660" s="23"/>
    </row>
    <row r="661" spans="1:18" s="148" customFormat="1" x14ac:dyDescent="0.3">
      <c r="A661" s="38"/>
      <c r="B661" s="38"/>
      <c r="C661" s="23"/>
      <c r="D661" s="23"/>
      <c r="E661" s="23"/>
      <c r="F661" s="101"/>
      <c r="G661" s="101"/>
      <c r="H661" s="101"/>
      <c r="I661" s="101"/>
      <c r="K661" s="228"/>
      <c r="L661" s="38"/>
      <c r="N661" s="23"/>
      <c r="O661" s="23"/>
      <c r="P661" s="23"/>
      <c r="Q661" s="23"/>
      <c r="R661" s="23"/>
    </row>
    <row r="662" spans="1:18" s="148" customFormat="1" x14ac:dyDescent="0.3">
      <c r="A662" s="38"/>
      <c r="B662" s="38"/>
      <c r="C662" s="23"/>
      <c r="D662" s="23"/>
      <c r="E662" s="23"/>
      <c r="F662" s="101"/>
      <c r="G662" s="101"/>
      <c r="H662" s="101"/>
      <c r="I662" s="101"/>
      <c r="K662" s="228"/>
      <c r="L662" s="38"/>
      <c r="N662" s="23"/>
      <c r="O662" s="23"/>
      <c r="P662" s="23"/>
      <c r="Q662" s="23"/>
      <c r="R662" s="23"/>
    </row>
    <row r="663" spans="1:18" s="148" customFormat="1" x14ac:dyDescent="0.3">
      <c r="A663" s="38"/>
      <c r="B663" s="38"/>
      <c r="C663" s="23"/>
      <c r="D663" s="23"/>
      <c r="E663" s="23"/>
      <c r="F663" s="101"/>
      <c r="G663" s="101"/>
      <c r="H663" s="101"/>
      <c r="I663" s="101"/>
      <c r="K663" s="228"/>
      <c r="L663" s="38"/>
      <c r="N663" s="23"/>
      <c r="O663" s="23"/>
      <c r="P663" s="23"/>
      <c r="Q663" s="23"/>
      <c r="R663" s="23"/>
    </row>
    <row r="664" spans="1:18" s="148" customFormat="1" x14ac:dyDescent="0.3">
      <c r="A664" s="38"/>
      <c r="B664" s="38"/>
      <c r="C664" s="23"/>
      <c r="D664" s="23"/>
      <c r="E664" s="23"/>
      <c r="F664" s="101"/>
      <c r="G664" s="101"/>
      <c r="H664" s="101"/>
      <c r="I664" s="101"/>
      <c r="K664" s="228"/>
      <c r="L664" s="38"/>
      <c r="N664" s="23"/>
      <c r="O664" s="23"/>
      <c r="P664" s="23"/>
      <c r="Q664" s="23"/>
      <c r="R664" s="23"/>
    </row>
    <row r="665" spans="1:18" s="148" customFormat="1" x14ac:dyDescent="0.3">
      <c r="A665" s="38"/>
      <c r="B665" s="38"/>
      <c r="C665" s="23"/>
      <c r="D665" s="23"/>
      <c r="E665" s="23"/>
      <c r="F665" s="101"/>
      <c r="G665" s="101"/>
      <c r="H665" s="101"/>
      <c r="I665" s="101"/>
      <c r="K665" s="228"/>
      <c r="L665" s="38"/>
      <c r="N665" s="23"/>
      <c r="O665" s="23"/>
      <c r="P665" s="23"/>
      <c r="Q665" s="23"/>
      <c r="R665" s="23"/>
    </row>
    <row r="666" spans="1:18" s="148" customFormat="1" x14ac:dyDescent="0.3">
      <c r="A666" s="38"/>
      <c r="B666" s="38"/>
      <c r="C666" s="23"/>
      <c r="D666" s="23"/>
      <c r="E666" s="23"/>
      <c r="F666" s="101"/>
      <c r="G666" s="101"/>
      <c r="H666" s="101"/>
      <c r="I666" s="101"/>
      <c r="K666" s="228"/>
      <c r="L666" s="38"/>
      <c r="N666" s="23"/>
      <c r="O666" s="23"/>
      <c r="P666" s="23"/>
      <c r="Q666" s="23"/>
      <c r="R666" s="23"/>
    </row>
    <row r="667" spans="1:18" s="148" customFormat="1" x14ac:dyDescent="0.3">
      <c r="A667" s="38"/>
      <c r="B667" s="38"/>
      <c r="C667" s="23"/>
      <c r="D667" s="23"/>
      <c r="E667" s="23"/>
      <c r="F667" s="101"/>
      <c r="G667" s="101"/>
      <c r="H667" s="101"/>
      <c r="I667" s="101"/>
      <c r="K667" s="228"/>
      <c r="L667" s="38"/>
      <c r="N667" s="23"/>
      <c r="O667" s="23"/>
      <c r="P667" s="23"/>
      <c r="Q667" s="23"/>
      <c r="R667" s="23"/>
    </row>
    <row r="668" spans="1:18" s="148" customFormat="1" x14ac:dyDescent="0.3">
      <c r="A668" s="38"/>
      <c r="B668" s="38"/>
      <c r="C668" s="23"/>
      <c r="D668" s="23"/>
      <c r="E668" s="23"/>
      <c r="F668" s="101"/>
      <c r="G668" s="101"/>
      <c r="H668" s="101"/>
      <c r="I668" s="101"/>
      <c r="K668" s="228"/>
      <c r="L668" s="38"/>
      <c r="N668" s="23"/>
      <c r="O668" s="23"/>
      <c r="P668" s="23"/>
      <c r="Q668" s="23"/>
      <c r="R668" s="23"/>
    </row>
    <row r="669" spans="1:18" s="148" customFormat="1" x14ac:dyDescent="0.3">
      <c r="A669" s="38"/>
      <c r="B669" s="38"/>
      <c r="C669" s="23"/>
      <c r="D669" s="23"/>
      <c r="E669" s="23"/>
      <c r="F669" s="101"/>
      <c r="G669" s="101"/>
      <c r="H669" s="101"/>
      <c r="I669" s="101"/>
      <c r="K669" s="228"/>
      <c r="L669" s="38"/>
      <c r="N669" s="23"/>
      <c r="O669" s="23"/>
      <c r="P669" s="23"/>
      <c r="Q669" s="23"/>
      <c r="R669" s="23"/>
    </row>
    <row r="670" spans="1:18" s="148" customFormat="1" x14ac:dyDescent="0.3">
      <c r="A670" s="38"/>
      <c r="B670" s="38"/>
      <c r="C670" s="23"/>
      <c r="D670" s="23"/>
      <c r="E670" s="23"/>
      <c r="F670" s="101"/>
      <c r="G670" s="101"/>
      <c r="H670" s="101"/>
      <c r="I670" s="101"/>
      <c r="K670" s="228"/>
      <c r="L670" s="38"/>
      <c r="N670" s="23"/>
      <c r="O670" s="23"/>
      <c r="P670" s="23"/>
      <c r="Q670" s="23"/>
      <c r="R670" s="23"/>
    </row>
    <row r="671" spans="1:18" s="148" customFormat="1" x14ac:dyDescent="0.3">
      <c r="A671" s="38"/>
      <c r="B671" s="38"/>
      <c r="C671" s="23"/>
      <c r="D671" s="23"/>
      <c r="E671" s="23"/>
      <c r="F671" s="101"/>
      <c r="G671" s="101"/>
      <c r="H671" s="101"/>
      <c r="I671" s="101"/>
      <c r="K671" s="228"/>
      <c r="L671" s="38"/>
      <c r="N671" s="23"/>
      <c r="O671" s="23"/>
      <c r="P671" s="23"/>
      <c r="Q671" s="23"/>
      <c r="R671" s="23"/>
    </row>
    <row r="672" spans="1:18" s="148" customFormat="1" x14ac:dyDescent="0.3">
      <c r="A672" s="38"/>
      <c r="B672" s="38"/>
      <c r="C672" s="23"/>
      <c r="D672" s="23"/>
      <c r="E672" s="23"/>
      <c r="F672" s="101"/>
      <c r="G672" s="101"/>
      <c r="H672" s="101"/>
      <c r="I672" s="101"/>
      <c r="K672" s="228"/>
      <c r="L672" s="38"/>
      <c r="N672" s="23"/>
      <c r="O672" s="23"/>
      <c r="P672" s="23"/>
      <c r="Q672" s="23"/>
      <c r="R672" s="23"/>
    </row>
    <row r="673" spans="1:18" s="148" customFormat="1" x14ac:dyDescent="0.3">
      <c r="A673" s="38"/>
      <c r="B673" s="38"/>
      <c r="C673" s="23"/>
      <c r="D673" s="23"/>
      <c r="E673" s="23"/>
      <c r="F673" s="101"/>
      <c r="G673" s="101"/>
      <c r="H673" s="101"/>
      <c r="I673" s="101"/>
      <c r="K673" s="228"/>
      <c r="L673" s="38"/>
      <c r="N673" s="23"/>
      <c r="O673" s="23"/>
      <c r="P673" s="23"/>
      <c r="Q673" s="23"/>
      <c r="R673" s="23"/>
    </row>
    <row r="674" spans="1:18" s="148" customFormat="1" x14ac:dyDescent="0.3">
      <c r="A674" s="38"/>
      <c r="B674" s="38"/>
      <c r="C674" s="23"/>
      <c r="D674" s="23"/>
      <c r="E674" s="23"/>
      <c r="F674" s="101"/>
      <c r="G674" s="101"/>
      <c r="H674" s="101"/>
      <c r="I674" s="101"/>
      <c r="K674" s="228"/>
      <c r="L674" s="38"/>
      <c r="N674" s="23"/>
      <c r="O674" s="23"/>
      <c r="P674" s="23"/>
      <c r="Q674" s="23"/>
      <c r="R674" s="23"/>
    </row>
    <row r="675" spans="1:18" s="148" customFormat="1" x14ac:dyDescent="0.3">
      <c r="A675" s="38"/>
      <c r="B675" s="38"/>
      <c r="C675" s="23"/>
      <c r="D675" s="23"/>
      <c r="E675" s="23"/>
      <c r="F675" s="101"/>
      <c r="G675" s="101"/>
      <c r="H675" s="101"/>
      <c r="I675" s="101"/>
      <c r="K675" s="228"/>
      <c r="L675" s="38"/>
      <c r="N675" s="23"/>
      <c r="O675" s="23"/>
      <c r="P675" s="23"/>
      <c r="Q675" s="23"/>
      <c r="R675" s="23"/>
    </row>
    <row r="676" spans="1:18" s="148" customFormat="1" x14ac:dyDescent="0.3">
      <c r="A676" s="38"/>
      <c r="B676" s="38"/>
      <c r="C676" s="23"/>
      <c r="D676" s="23"/>
      <c r="E676" s="23"/>
      <c r="F676" s="101"/>
      <c r="G676" s="101"/>
      <c r="H676" s="101"/>
      <c r="I676" s="101"/>
      <c r="K676" s="228"/>
      <c r="L676" s="38"/>
      <c r="N676" s="23"/>
      <c r="O676" s="23"/>
      <c r="P676" s="23"/>
      <c r="Q676" s="23"/>
      <c r="R676" s="23"/>
    </row>
    <row r="677" spans="1:18" s="148" customFormat="1" x14ac:dyDescent="0.3">
      <c r="A677" s="38"/>
      <c r="B677" s="38"/>
      <c r="C677" s="23"/>
      <c r="D677" s="23"/>
      <c r="E677" s="23"/>
      <c r="F677" s="101"/>
      <c r="G677" s="101"/>
      <c r="H677" s="101"/>
      <c r="I677" s="101"/>
      <c r="K677" s="228"/>
      <c r="L677" s="38"/>
      <c r="N677" s="23"/>
      <c r="O677" s="23"/>
      <c r="P677" s="23"/>
      <c r="Q677" s="23"/>
      <c r="R677" s="23"/>
    </row>
    <row r="678" spans="1:18" s="148" customFormat="1" x14ac:dyDescent="0.3">
      <c r="A678" s="38"/>
      <c r="B678" s="38"/>
      <c r="C678" s="23"/>
      <c r="D678" s="23"/>
      <c r="E678" s="23"/>
      <c r="F678" s="101"/>
      <c r="G678" s="101"/>
      <c r="H678" s="101"/>
      <c r="I678" s="101"/>
      <c r="K678" s="228"/>
      <c r="L678" s="38"/>
      <c r="N678" s="23"/>
      <c r="O678" s="23"/>
      <c r="P678" s="23"/>
      <c r="Q678" s="23"/>
      <c r="R678" s="23"/>
    </row>
    <row r="679" spans="1:18" s="148" customFormat="1" x14ac:dyDescent="0.3">
      <c r="A679" s="38"/>
      <c r="B679" s="38"/>
      <c r="C679" s="23"/>
      <c r="D679" s="23"/>
      <c r="E679" s="23"/>
      <c r="F679" s="101"/>
      <c r="G679" s="101"/>
      <c r="H679" s="101"/>
      <c r="I679" s="101"/>
      <c r="K679" s="228"/>
      <c r="L679" s="38"/>
      <c r="N679" s="23"/>
      <c r="O679" s="23"/>
      <c r="P679" s="23"/>
      <c r="Q679" s="23"/>
      <c r="R679" s="23"/>
    </row>
    <row r="680" spans="1:18" s="148" customFormat="1" x14ac:dyDescent="0.3">
      <c r="A680" s="38"/>
      <c r="B680" s="38"/>
      <c r="C680" s="23"/>
      <c r="D680" s="23"/>
      <c r="E680" s="23"/>
      <c r="F680" s="101"/>
      <c r="G680" s="101"/>
      <c r="H680" s="101"/>
      <c r="I680" s="101"/>
      <c r="K680" s="228"/>
      <c r="L680" s="38"/>
      <c r="N680" s="23"/>
      <c r="O680" s="23"/>
      <c r="P680" s="23"/>
      <c r="Q680" s="23"/>
      <c r="R680" s="23"/>
    </row>
    <row r="681" spans="1:18" s="148" customFormat="1" x14ac:dyDescent="0.3">
      <c r="A681" s="38"/>
      <c r="B681" s="38"/>
      <c r="C681" s="23"/>
      <c r="D681" s="23"/>
      <c r="E681" s="23"/>
      <c r="F681" s="101"/>
      <c r="G681" s="101"/>
      <c r="H681" s="101"/>
      <c r="I681" s="101"/>
      <c r="K681" s="228"/>
      <c r="L681" s="38"/>
      <c r="N681" s="23"/>
      <c r="O681" s="23"/>
      <c r="P681" s="23"/>
      <c r="Q681" s="23"/>
      <c r="R681" s="23"/>
    </row>
    <row r="682" spans="1:18" s="148" customFormat="1" x14ac:dyDescent="0.3">
      <c r="A682" s="38"/>
      <c r="B682" s="38"/>
      <c r="C682" s="23"/>
      <c r="D682" s="23"/>
      <c r="E682" s="23"/>
      <c r="F682" s="101"/>
      <c r="G682" s="101"/>
      <c r="H682" s="101"/>
      <c r="I682" s="101"/>
      <c r="K682" s="228"/>
      <c r="L682" s="38"/>
      <c r="N682" s="23"/>
      <c r="O682" s="23"/>
      <c r="P682" s="23"/>
      <c r="Q682" s="23"/>
      <c r="R682" s="23"/>
    </row>
    <row r="683" spans="1:18" s="148" customFormat="1" x14ac:dyDescent="0.3">
      <c r="A683" s="38"/>
      <c r="B683" s="38"/>
      <c r="C683" s="23"/>
      <c r="D683" s="23"/>
      <c r="E683" s="23"/>
      <c r="F683" s="101"/>
      <c r="G683" s="101"/>
      <c r="H683" s="101"/>
      <c r="I683" s="101"/>
      <c r="K683" s="228"/>
      <c r="L683" s="38"/>
      <c r="N683" s="23"/>
      <c r="O683" s="23"/>
      <c r="P683" s="23"/>
      <c r="Q683" s="23"/>
      <c r="R683" s="23"/>
    </row>
    <row r="684" spans="1:18" s="148" customFormat="1" x14ac:dyDescent="0.3">
      <c r="A684" s="38"/>
      <c r="B684" s="38"/>
      <c r="C684" s="23"/>
      <c r="D684" s="23"/>
      <c r="E684" s="23"/>
      <c r="F684" s="101"/>
      <c r="G684" s="101"/>
      <c r="H684" s="101"/>
      <c r="I684" s="101"/>
      <c r="K684" s="228"/>
      <c r="L684" s="38"/>
      <c r="N684" s="23"/>
      <c r="O684" s="23"/>
      <c r="P684" s="23"/>
      <c r="Q684" s="23"/>
      <c r="R684" s="23"/>
    </row>
    <row r="685" spans="1:18" s="148" customFormat="1" x14ac:dyDescent="0.3">
      <c r="A685" s="38"/>
      <c r="B685" s="38"/>
      <c r="C685" s="23"/>
      <c r="D685" s="23"/>
      <c r="E685" s="23"/>
      <c r="F685" s="101"/>
      <c r="G685" s="101"/>
      <c r="H685" s="101"/>
      <c r="I685" s="101"/>
      <c r="K685" s="228"/>
      <c r="L685" s="38"/>
      <c r="N685" s="23"/>
      <c r="O685" s="23"/>
      <c r="P685" s="23"/>
      <c r="Q685" s="23"/>
      <c r="R685" s="23"/>
    </row>
    <row r="686" spans="1:18" s="148" customFormat="1" x14ac:dyDescent="0.3">
      <c r="A686" s="38"/>
      <c r="B686" s="38"/>
      <c r="C686" s="23"/>
      <c r="D686" s="23"/>
      <c r="E686" s="23"/>
      <c r="F686" s="101"/>
      <c r="G686" s="101"/>
      <c r="H686" s="101"/>
      <c r="I686" s="101"/>
      <c r="K686" s="228"/>
      <c r="L686" s="38"/>
      <c r="N686" s="23"/>
      <c r="O686" s="23"/>
      <c r="P686" s="23"/>
      <c r="Q686" s="23"/>
      <c r="R686" s="23"/>
    </row>
    <row r="687" spans="1:18" s="148" customFormat="1" x14ac:dyDescent="0.3">
      <c r="A687" s="38"/>
      <c r="B687" s="38"/>
      <c r="C687" s="23"/>
      <c r="D687" s="23"/>
      <c r="E687" s="23"/>
      <c r="F687" s="101"/>
      <c r="G687" s="101"/>
      <c r="H687" s="101"/>
      <c r="I687" s="101"/>
      <c r="K687" s="228"/>
      <c r="L687" s="38"/>
      <c r="N687" s="23"/>
      <c r="O687" s="23"/>
      <c r="P687" s="23"/>
      <c r="Q687" s="23"/>
      <c r="R687" s="23"/>
    </row>
    <row r="688" spans="1:18" s="148" customFormat="1" x14ac:dyDescent="0.3">
      <c r="A688" s="38"/>
      <c r="B688" s="38"/>
      <c r="C688" s="23"/>
      <c r="D688" s="23"/>
      <c r="E688" s="23"/>
      <c r="F688" s="101"/>
      <c r="G688" s="101"/>
      <c r="H688" s="101"/>
      <c r="I688" s="101"/>
      <c r="K688" s="228"/>
      <c r="L688" s="38"/>
      <c r="N688" s="23"/>
      <c r="O688" s="23"/>
      <c r="P688" s="23"/>
      <c r="Q688" s="23"/>
      <c r="R688" s="23"/>
    </row>
    <row r="689" spans="1:18" s="148" customFormat="1" x14ac:dyDescent="0.3">
      <c r="A689" s="38"/>
      <c r="B689" s="38"/>
      <c r="C689" s="23"/>
      <c r="D689" s="23"/>
      <c r="E689" s="23"/>
      <c r="F689" s="101"/>
      <c r="G689" s="101"/>
      <c r="H689" s="101"/>
      <c r="I689" s="101"/>
      <c r="K689" s="228"/>
      <c r="L689" s="38"/>
      <c r="N689" s="23"/>
      <c r="O689" s="23"/>
      <c r="P689" s="23"/>
      <c r="Q689" s="23"/>
      <c r="R689" s="23"/>
    </row>
    <row r="690" spans="1:18" s="148" customFormat="1" x14ac:dyDescent="0.3">
      <c r="A690" s="38"/>
      <c r="B690" s="38"/>
      <c r="C690" s="23"/>
      <c r="D690" s="23"/>
      <c r="E690" s="23"/>
      <c r="F690" s="101"/>
      <c r="G690" s="101"/>
      <c r="H690" s="101"/>
      <c r="I690" s="101"/>
      <c r="K690" s="228"/>
      <c r="L690" s="38"/>
      <c r="N690" s="23"/>
      <c r="O690" s="23"/>
      <c r="P690" s="23"/>
      <c r="Q690" s="23"/>
      <c r="R690" s="23"/>
    </row>
    <row r="691" spans="1:18" s="148" customFormat="1" x14ac:dyDescent="0.3">
      <c r="A691" s="38"/>
      <c r="B691" s="38"/>
      <c r="C691" s="23"/>
      <c r="D691" s="23"/>
      <c r="E691" s="23"/>
      <c r="F691" s="101"/>
      <c r="G691" s="101"/>
      <c r="H691" s="101"/>
      <c r="I691" s="101"/>
      <c r="K691" s="228"/>
      <c r="L691" s="38"/>
      <c r="N691" s="23"/>
      <c r="O691" s="23"/>
      <c r="P691" s="23"/>
      <c r="Q691" s="23"/>
      <c r="R691" s="23"/>
    </row>
    <row r="692" spans="1:18" s="148" customFormat="1" x14ac:dyDescent="0.3">
      <c r="A692" s="38"/>
      <c r="B692" s="38"/>
      <c r="C692" s="23"/>
      <c r="D692" s="23"/>
      <c r="E692" s="23"/>
      <c r="F692" s="101"/>
      <c r="G692" s="101"/>
      <c r="H692" s="101"/>
      <c r="I692" s="101"/>
      <c r="K692" s="228"/>
      <c r="L692" s="38"/>
      <c r="N692" s="23"/>
      <c r="O692" s="23"/>
      <c r="P692" s="23"/>
      <c r="Q692" s="23"/>
      <c r="R692" s="23"/>
    </row>
    <row r="693" spans="1:18" s="148" customFormat="1" x14ac:dyDescent="0.3">
      <c r="A693" s="38"/>
      <c r="B693" s="38"/>
      <c r="C693" s="23"/>
      <c r="D693" s="23"/>
      <c r="E693" s="23"/>
      <c r="F693" s="101"/>
      <c r="G693" s="101"/>
      <c r="H693" s="101"/>
      <c r="I693" s="101"/>
      <c r="K693" s="228"/>
      <c r="L693" s="38"/>
      <c r="N693" s="23"/>
      <c r="O693" s="23"/>
      <c r="P693" s="23"/>
      <c r="Q693" s="23"/>
      <c r="R693" s="23"/>
    </row>
    <row r="694" spans="1:18" s="148" customFormat="1" x14ac:dyDescent="0.3">
      <c r="A694" s="38"/>
      <c r="B694" s="38"/>
      <c r="C694" s="23"/>
      <c r="D694" s="23"/>
      <c r="E694" s="23"/>
      <c r="F694" s="101"/>
      <c r="G694" s="101"/>
      <c r="H694" s="101"/>
      <c r="I694" s="101"/>
      <c r="K694" s="228"/>
      <c r="L694" s="38"/>
      <c r="N694" s="23"/>
      <c r="O694" s="23"/>
      <c r="P694" s="23"/>
      <c r="Q694" s="23"/>
      <c r="R694" s="23"/>
    </row>
    <row r="695" spans="1:18" s="148" customFormat="1" x14ac:dyDescent="0.3">
      <c r="A695" s="38"/>
      <c r="B695" s="38"/>
      <c r="C695" s="23"/>
      <c r="D695" s="23"/>
      <c r="E695" s="23"/>
      <c r="F695" s="101"/>
      <c r="G695" s="101"/>
      <c r="H695" s="101"/>
      <c r="I695" s="101"/>
      <c r="K695" s="228"/>
      <c r="L695" s="38"/>
      <c r="N695" s="23"/>
      <c r="O695" s="23"/>
      <c r="P695" s="23"/>
      <c r="Q695" s="23"/>
      <c r="R695" s="23"/>
    </row>
    <row r="696" spans="1:18" s="148" customFormat="1" x14ac:dyDescent="0.3">
      <c r="A696" s="38"/>
      <c r="B696" s="38"/>
      <c r="C696" s="23"/>
      <c r="D696" s="23"/>
      <c r="E696" s="23"/>
      <c r="F696" s="101"/>
      <c r="G696" s="101"/>
      <c r="H696" s="101"/>
      <c r="I696" s="101"/>
      <c r="K696" s="228"/>
      <c r="L696" s="38"/>
      <c r="N696" s="23"/>
      <c r="O696" s="23"/>
      <c r="P696" s="23"/>
      <c r="Q696" s="23"/>
      <c r="R696" s="23"/>
    </row>
    <row r="697" spans="1:18" s="148" customFormat="1" x14ac:dyDescent="0.3">
      <c r="A697" s="38"/>
      <c r="B697" s="38"/>
      <c r="C697" s="23"/>
      <c r="D697" s="23"/>
      <c r="E697" s="23"/>
      <c r="F697" s="101"/>
      <c r="G697" s="101"/>
      <c r="H697" s="101"/>
      <c r="I697" s="101"/>
      <c r="K697" s="228"/>
      <c r="L697" s="38"/>
      <c r="N697" s="23"/>
      <c r="O697" s="23"/>
      <c r="P697" s="23"/>
      <c r="Q697" s="23"/>
      <c r="R697" s="23"/>
    </row>
    <row r="698" spans="1:18" s="148" customFormat="1" x14ac:dyDescent="0.3">
      <c r="A698" s="38"/>
      <c r="B698" s="38"/>
      <c r="C698" s="23"/>
      <c r="D698" s="23"/>
      <c r="E698" s="23"/>
      <c r="F698" s="101"/>
      <c r="G698" s="101"/>
      <c r="H698" s="101"/>
      <c r="I698" s="101"/>
      <c r="K698" s="228"/>
      <c r="L698" s="38"/>
      <c r="N698" s="23"/>
      <c r="O698" s="23"/>
      <c r="P698" s="23"/>
      <c r="Q698" s="23"/>
      <c r="R698" s="23"/>
    </row>
    <row r="699" spans="1:18" s="148" customFormat="1" x14ac:dyDescent="0.3">
      <c r="A699" s="38"/>
      <c r="B699" s="38"/>
      <c r="C699" s="23"/>
      <c r="D699" s="23"/>
      <c r="E699" s="23"/>
      <c r="F699" s="101"/>
      <c r="G699" s="101"/>
      <c r="H699" s="101"/>
      <c r="I699" s="101"/>
      <c r="K699" s="228"/>
      <c r="L699" s="38"/>
      <c r="N699" s="23"/>
      <c r="O699" s="23"/>
      <c r="P699" s="23"/>
      <c r="Q699" s="23"/>
      <c r="R699" s="23"/>
    </row>
    <row r="700" spans="1:18" s="148" customFormat="1" x14ac:dyDescent="0.3">
      <c r="A700" s="38"/>
      <c r="B700" s="38"/>
      <c r="C700" s="23"/>
      <c r="D700" s="23"/>
      <c r="E700" s="23"/>
      <c r="F700" s="101"/>
      <c r="G700" s="101"/>
      <c r="H700" s="101"/>
      <c r="I700" s="101"/>
      <c r="K700" s="228"/>
      <c r="L700" s="38"/>
      <c r="N700" s="23"/>
      <c r="O700" s="23"/>
      <c r="P700" s="23"/>
      <c r="Q700" s="23"/>
      <c r="R700" s="23"/>
    </row>
    <row r="701" spans="1:18" s="148" customFormat="1" x14ac:dyDescent="0.3">
      <c r="A701" s="38"/>
      <c r="B701" s="38"/>
      <c r="C701" s="23"/>
      <c r="D701" s="23"/>
      <c r="E701" s="23"/>
      <c r="F701" s="101"/>
      <c r="G701" s="101"/>
      <c r="H701" s="101"/>
      <c r="I701" s="101"/>
      <c r="K701" s="228"/>
      <c r="L701" s="38"/>
      <c r="N701" s="23"/>
      <c r="O701" s="23"/>
      <c r="P701" s="23"/>
      <c r="Q701" s="23"/>
      <c r="R701" s="23"/>
    </row>
    <row r="702" spans="1:18" s="148" customFormat="1" x14ac:dyDescent="0.3">
      <c r="A702" s="38"/>
      <c r="B702" s="38"/>
      <c r="C702" s="23"/>
      <c r="D702" s="23"/>
      <c r="E702" s="23"/>
      <c r="F702" s="101"/>
      <c r="G702" s="101"/>
      <c r="H702" s="101"/>
      <c r="I702" s="101"/>
      <c r="K702" s="228"/>
      <c r="L702" s="38"/>
      <c r="N702" s="23"/>
      <c r="O702" s="23"/>
      <c r="P702" s="23"/>
      <c r="Q702" s="23"/>
      <c r="R702" s="23"/>
    </row>
    <row r="703" spans="1:18" s="148" customFormat="1" x14ac:dyDescent="0.3">
      <c r="A703" s="38"/>
      <c r="B703" s="38"/>
      <c r="C703" s="23"/>
      <c r="D703" s="23"/>
      <c r="E703" s="23"/>
      <c r="F703" s="101"/>
      <c r="G703" s="101"/>
      <c r="H703" s="101"/>
      <c r="I703" s="101"/>
      <c r="K703" s="228"/>
      <c r="L703" s="38"/>
      <c r="N703" s="23"/>
      <c r="O703" s="23"/>
      <c r="P703" s="23"/>
      <c r="Q703" s="23"/>
      <c r="R703" s="23"/>
    </row>
    <row r="704" spans="1:18" s="148" customFormat="1" x14ac:dyDescent="0.3">
      <c r="A704" s="38"/>
      <c r="B704" s="38"/>
      <c r="C704" s="23"/>
      <c r="D704" s="23"/>
      <c r="E704" s="23"/>
      <c r="F704" s="101"/>
      <c r="G704" s="101"/>
      <c r="H704" s="101"/>
      <c r="I704" s="101"/>
      <c r="K704" s="228"/>
      <c r="L704" s="38"/>
      <c r="N704" s="23"/>
      <c r="O704" s="23"/>
      <c r="P704" s="23"/>
      <c r="Q704" s="23"/>
      <c r="R704" s="23"/>
    </row>
    <row r="705" spans="1:18" s="148" customFormat="1" x14ac:dyDescent="0.3">
      <c r="A705" s="38"/>
      <c r="B705" s="38"/>
      <c r="C705" s="23"/>
      <c r="D705" s="23"/>
      <c r="E705" s="23"/>
      <c r="F705" s="101"/>
      <c r="G705" s="101"/>
      <c r="H705" s="101"/>
      <c r="I705" s="101"/>
      <c r="K705" s="228"/>
      <c r="L705" s="38"/>
      <c r="N705" s="23"/>
      <c r="O705" s="23"/>
      <c r="P705" s="23"/>
      <c r="Q705" s="23"/>
      <c r="R705" s="23"/>
    </row>
    <row r="706" spans="1:18" s="148" customFormat="1" x14ac:dyDescent="0.3">
      <c r="A706" s="38"/>
      <c r="B706" s="38"/>
      <c r="C706" s="23"/>
      <c r="D706" s="23"/>
      <c r="E706" s="23"/>
      <c r="F706" s="101"/>
      <c r="G706" s="101"/>
      <c r="H706" s="101"/>
      <c r="I706" s="101"/>
      <c r="K706" s="228"/>
      <c r="L706" s="38"/>
      <c r="N706" s="23"/>
      <c r="O706" s="23"/>
      <c r="P706" s="23"/>
      <c r="Q706" s="23"/>
      <c r="R706" s="23"/>
    </row>
    <row r="707" spans="1:18" s="148" customFormat="1" x14ac:dyDescent="0.3">
      <c r="A707" s="38"/>
      <c r="B707" s="38"/>
      <c r="C707" s="23"/>
      <c r="D707" s="23"/>
      <c r="E707" s="23"/>
      <c r="F707" s="101"/>
      <c r="G707" s="101"/>
      <c r="H707" s="101"/>
      <c r="I707" s="101"/>
      <c r="K707" s="228"/>
      <c r="L707" s="38"/>
      <c r="N707" s="23"/>
      <c r="O707" s="23"/>
      <c r="P707" s="23"/>
      <c r="Q707" s="23"/>
      <c r="R707" s="23"/>
    </row>
    <row r="708" spans="1:18" s="148" customFormat="1" x14ac:dyDescent="0.3">
      <c r="A708" s="38"/>
      <c r="B708" s="38"/>
      <c r="C708" s="23"/>
      <c r="D708" s="23"/>
      <c r="E708" s="23"/>
      <c r="F708" s="101"/>
      <c r="G708" s="101"/>
      <c r="H708" s="101"/>
      <c r="I708" s="101"/>
      <c r="K708" s="228"/>
      <c r="L708" s="38"/>
      <c r="N708" s="23"/>
      <c r="O708" s="23"/>
      <c r="P708" s="23"/>
      <c r="Q708" s="23"/>
      <c r="R708" s="23"/>
    </row>
    <row r="709" spans="1:18" s="148" customFormat="1" x14ac:dyDescent="0.3">
      <c r="A709" s="38"/>
      <c r="B709" s="38"/>
      <c r="C709" s="23"/>
      <c r="D709" s="23"/>
      <c r="E709" s="23"/>
      <c r="F709" s="101"/>
      <c r="G709" s="101"/>
      <c r="H709" s="101"/>
      <c r="I709" s="101"/>
      <c r="K709" s="228"/>
      <c r="L709" s="38"/>
      <c r="N709" s="23"/>
      <c r="O709" s="23"/>
      <c r="P709" s="23"/>
      <c r="Q709" s="23"/>
      <c r="R709" s="23"/>
    </row>
    <row r="710" spans="1:18" s="148" customFormat="1" x14ac:dyDescent="0.3">
      <c r="A710" s="38"/>
      <c r="B710" s="38"/>
      <c r="C710" s="23"/>
      <c r="D710" s="23"/>
      <c r="E710" s="23"/>
      <c r="F710" s="101"/>
      <c r="G710" s="101"/>
      <c r="H710" s="101"/>
      <c r="I710" s="101"/>
      <c r="K710" s="228"/>
      <c r="L710" s="38"/>
      <c r="N710" s="23"/>
      <c r="O710" s="23"/>
      <c r="P710" s="23"/>
      <c r="Q710" s="23"/>
      <c r="R710" s="23"/>
    </row>
    <row r="711" spans="1:18" s="148" customFormat="1" x14ac:dyDescent="0.3">
      <c r="A711" s="38"/>
      <c r="B711" s="38"/>
      <c r="C711" s="23"/>
      <c r="D711" s="23"/>
      <c r="E711" s="23"/>
      <c r="F711" s="101"/>
      <c r="G711" s="101"/>
      <c r="H711" s="101"/>
      <c r="I711" s="101"/>
      <c r="K711" s="228"/>
      <c r="L711" s="38"/>
      <c r="N711" s="23"/>
      <c r="O711" s="23"/>
      <c r="P711" s="23"/>
      <c r="Q711" s="23"/>
      <c r="R711" s="23"/>
    </row>
    <row r="712" spans="1:18" s="148" customFormat="1" x14ac:dyDescent="0.3">
      <c r="A712" s="38"/>
      <c r="B712" s="38"/>
      <c r="C712" s="23"/>
      <c r="D712" s="23"/>
      <c r="E712" s="23"/>
      <c r="F712" s="101"/>
      <c r="G712" s="101"/>
      <c r="H712" s="101"/>
      <c r="I712" s="101"/>
      <c r="K712" s="228"/>
      <c r="L712" s="38"/>
      <c r="N712" s="23"/>
      <c r="O712" s="23"/>
      <c r="P712" s="23"/>
      <c r="Q712" s="23"/>
      <c r="R712" s="23"/>
    </row>
    <row r="713" spans="1:18" s="148" customFormat="1" x14ac:dyDescent="0.3">
      <c r="A713" s="38"/>
      <c r="B713" s="38"/>
      <c r="C713" s="23"/>
      <c r="D713" s="23"/>
      <c r="E713" s="23"/>
      <c r="F713" s="101"/>
      <c r="G713" s="101"/>
      <c r="H713" s="101"/>
      <c r="I713" s="101"/>
      <c r="K713" s="228"/>
      <c r="L713" s="38"/>
      <c r="N713" s="23"/>
      <c r="O713" s="23"/>
      <c r="P713" s="23"/>
      <c r="Q713" s="23"/>
      <c r="R713" s="23"/>
    </row>
    <row r="714" spans="1:18" s="148" customFormat="1" x14ac:dyDescent="0.3">
      <c r="A714" s="38"/>
      <c r="B714" s="38"/>
      <c r="C714" s="23"/>
      <c r="D714" s="23"/>
      <c r="E714" s="23"/>
      <c r="F714" s="101"/>
      <c r="G714" s="101"/>
      <c r="H714" s="101"/>
      <c r="I714" s="101"/>
      <c r="K714" s="228"/>
      <c r="L714" s="38"/>
      <c r="N714" s="23"/>
      <c r="O714" s="23"/>
      <c r="P714" s="23"/>
      <c r="Q714" s="23"/>
      <c r="R714" s="23"/>
    </row>
    <row r="715" spans="1:18" s="148" customFormat="1" x14ac:dyDescent="0.3">
      <c r="A715" s="38"/>
      <c r="B715" s="38"/>
      <c r="C715" s="23"/>
      <c r="D715" s="23"/>
      <c r="E715" s="23"/>
      <c r="F715" s="101"/>
      <c r="G715" s="101"/>
      <c r="H715" s="101"/>
      <c r="I715" s="101"/>
      <c r="K715" s="228"/>
      <c r="L715" s="38"/>
      <c r="N715" s="23"/>
      <c r="O715" s="23"/>
      <c r="P715" s="23"/>
      <c r="Q715" s="23"/>
      <c r="R715" s="23"/>
    </row>
    <row r="716" spans="1:18" s="148" customFormat="1" x14ac:dyDescent="0.3">
      <c r="A716" s="38"/>
      <c r="B716" s="38"/>
      <c r="C716" s="23"/>
      <c r="D716" s="23"/>
      <c r="E716" s="23"/>
      <c r="F716" s="101"/>
      <c r="G716" s="101"/>
      <c r="H716" s="101"/>
      <c r="I716" s="101"/>
      <c r="K716" s="228"/>
      <c r="L716" s="38"/>
      <c r="N716" s="23"/>
      <c r="O716" s="23"/>
      <c r="P716" s="23"/>
      <c r="Q716" s="23"/>
      <c r="R716" s="23"/>
    </row>
    <row r="717" spans="1:18" s="148" customFormat="1" x14ac:dyDescent="0.3">
      <c r="A717" s="38"/>
      <c r="B717" s="38"/>
      <c r="C717" s="23"/>
      <c r="D717" s="23"/>
      <c r="E717" s="23"/>
      <c r="F717" s="101"/>
      <c r="G717" s="101"/>
      <c r="H717" s="101"/>
      <c r="I717" s="101"/>
      <c r="K717" s="228"/>
      <c r="L717" s="38"/>
      <c r="N717" s="23"/>
      <c r="O717" s="23"/>
      <c r="P717" s="23"/>
      <c r="Q717" s="23"/>
      <c r="R717" s="23"/>
    </row>
    <row r="718" spans="1:18" s="148" customFormat="1" x14ac:dyDescent="0.3">
      <c r="A718" s="38"/>
      <c r="B718" s="38"/>
      <c r="C718" s="23"/>
      <c r="D718" s="23"/>
      <c r="E718" s="23"/>
      <c r="F718" s="101"/>
      <c r="G718" s="101"/>
      <c r="H718" s="101"/>
      <c r="I718" s="101"/>
      <c r="K718" s="228"/>
      <c r="L718" s="38"/>
      <c r="N718" s="23"/>
      <c r="O718" s="23"/>
      <c r="P718" s="23"/>
      <c r="Q718" s="23"/>
      <c r="R718" s="23"/>
    </row>
    <row r="719" spans="1:18" s="148" customFormat="1" x14ac:dyDescent="0.3">
      <c r="A719" s="38"/>
      <c r="B719" s="38"/>
      <c r="C719" s="23"/>
      <c r="D719" s="23"/>
      <c r="E719" s="23"/>
      <c r="F719" s="101"/>
      <c r="G719" s="101"/>
      <c r="H719" s="101"/>
      <c r="I719" s="101"/>
      <c r="K719" s="228"/>
      <c r="L719" s="38"/>
      <c r="N719" s="23"/>
      <c r="O719" s="23"/>
      <c r="P719" s="23"/>
      <c r="Q719" s="23"/>
      <c r="R719" s="23"/>
    </row>
    <row r="720" spans="1:18" s="148" customFormat="1" x14ac:dyDescent="0.3">
      <c r="A720" s="38"/>
      <c r="B720" s="38"/>
      <c r="C720" s="23"/>
      <c r="D720" s="23"/>
      <c r="E720" s="23"/>
      <c r="F720" s="101"/>
      <c r="G720" s="101"/>
      <c r="H720" s="101"/>
      <c r="I720" s="101"/>
      <c r="K720" s="228"/>
      <c r="L720" s="38"/>
      <c r="N720" s="23"/>
      <c r="O720" s="23"/>
      <c r="P720" s="23"/>
      <c r="Q720" s="23"/>
      <c r="R720" s="23"/>
    </row>
    <row r="721" spans="1:18" s="148" customFormat="1" x14ac:dyDescent="0.3">
      <c r="A721" s="38"/>
      <c r="B721" s="38"/>
      <c r="C721" s="23"/>
      <c r="D721" s="23"/>
      <c r="E721" s="23"/>
      <c r="F721" s="101"/>
      <c r="G721" s="101"/>
      <c r="H721" s="101"/>
      <c r="I721" s="101"/>
      <c r="K721" s="228"/>
      <c r="L721" s="38"/>
      <c r="N721" s="23"/>
      <c r="O721" s="23"/>
      <c r="P721" s="23"/>
      <c r="Q721" s="23"/>
      <c r="R721" s="23"/>
    </row>
    <row r="722" spans="1:18" s="148" customFormat="1" x14ac:dyDescent="0.3">
      <c r="A722" s="38"/>
      <c r="B722" s="38"/>
      <c r="C722" s="23"/>
      <c r="D722" s="23"/>
      <c r="E722" s="23"/>
      <c r="F722" s="101"/>
      <c r="G722" s="101"/>
      <c r="H722" s="101"/>
      <c r="I722" s="101"/>
      <c r="K722" s="228"/>
      <c r="L722" s="38"/>
      <c r="N722" s="23"/>
      <c r="O722" s="23"/>
      <c r="P722" s="23"/>
      <c r="Q722" s="23"/>
      <c r="R722" s="23"/>
    </row>
    <row r="723" spans="1:18" s="148" customFormat="1" x14ac:dyDescent="0.3">
      <c r="A723" s="38"/>
      <c r="B723" s="38"/>
      <c r="C723" s="23"/>
      <c r="D723" s="23"/>
      <c r="E723" s="23"/>
      <c r="F723" s="101"/>
      <c r="G723" s="101"/>
      <c r="H723" s="101"/>
      <c r="I723" s="101"/>
      <c r="K723" s="228"/>
      <c r="L723" s="38"/>
      <c r="N723" s="23"/>
      <c r="O723" s="23"/>
      <c r="P723" s="23"/>
      <c r="Q723" s="23"/>
      <c r="R723" s="23"/>
    </row>
    <row r="724" spans="1:18" s="148" customFormat="1" x14ac:dyDescent="0.3">
      <c r="A724" s="38"/>
      <c r="B724" s="38"/>
      <c r="C724" s="23"/>
      <c r="D724" s="23"/>
      <c r="E724" s="23"/>
      <c r="F724" s="101"/>
      <c r="G724" s="101"/>
      <c r="H724" s="101"/>
      <c r="I724" s="101"/>
      <c r="K724" s="228"/>
      <c r="L724" s="38"/>
      <c r="N724" s="23"/>
      <c r="O724" s="23"/>
      <c r="P724" s="23"/>
      <c r="Q724" s="23"/>
      <c r="R724" s="23"/>
    </row>
    <row r="725" spans="1:18" s="148" customFormat="1" x14ac:dyDescent="0.3">
      <c r="A725" s="38"/>
      <c r="B725" s="38"/>
      <c r="C725" s="23"/>
      <c r="D725" s="23"/>
      <c r="E725" s="23"/>
      <c r="F725" s="101"/>
      <c r="G725" s="101"/>
      <c r="H725" s="101"/>
      <c r="I725" s="101"/>
      <c r="K725" s="228"/>
      <c r="L725" s="38"/>
      <c r="N725" s="23"/>
      <c r="O725" s="23"/>
      <c r="P725" s="23"/>
      <c r="Q725" s="23"/>
      <c r="R725" s="23"/>
    </row>
    <row r="726" spans="1:18" s="148" customFormat="1" x14ac:dyDescent="0.3">
      <c r="A726" s="38"/>
      <c r="B726" s="38"/>
      <c r="C726" s="23"/>
      <c r="D726" s="23"/>
      <c r="E726" s="23"/>
      <c r="F726" s="101"/>
      <c r="G726" s="101"/>
      <c r="H726" s="101"/>
      <c r="I726" s="101"/>
      <c r="K726" s="228"/>
      <c r="L726" s="38"/>
      <c r="N726" s="23"/>
      <c r="O726" s="23"/>
      <c r="P726" s="23"/>
      <c r="Q726" s="23"/>
      <c r="R726" s="23"/>
    </row>
    <row r="727" spans="1:18" s="148" customFormat="1" x14ac:dyDescent="0.3">
      <c r="A727" s="38"/>
      <c r="B727" s="38"/>
      <c r="C727" s="23"/>
      <c r="D727" s="23"/>
      <c r="E727" s="23"/>
      <c r="F727" s="101"/>
      <c r="G727" s="101"/>
      <c r="H727" s="101"/>
      <c r="I727" s="101"/>
      <c r="K727" s="228"/>
      <c r="L727" s="38"/>
      <c r="N727" s="23"/>
      <c r="O727" s="23"/>
      <c r="P727" s="23"/>
      <c r="Q727" s="23"/>
      <c r="R727" s="23"/>
    </row>
    <row r="728" spans="1:18" s="148" customFormat="1" x14ac:dyDescent="0.3">
      <c r="A728" s="38"/>
      <c r="B728" s="38"/>
      <c r="C728" s="23"/>
      <c r="D728" s="23"/>
      <c r="E728" s="23"/>
      <c r="F728" s="101"/>
      <c r="G728" s="101"/>
      <c r="H728" s="101"/>
      <c r="I728" s="101"/>
      <c r="K728" s="228"/>
      <c r="L728" s="38"/>
      <c r="N728" s="23"/>
      <c r="O728" s="23"/>
      <c r="P728" s="23"/>
      <c r="Q728" s="23"/>
      <c r="R728" s="23"/>
    </row>
    <row r="729" spans="1:18" s="148" customFormat="1" x14ac:dyDescent="0.3">
      <c r="A729" s="38"/>
      <c r="B729" s="38"/>
      <c r="C729" s="23"/>
      <c r="D729" s="23"/>
      <c r="E729" s="23"/>
      <c r="F729" s="101"/>
      <c r="G729" s="101"/>
      <c r="H729" s="101"/>
      <c r="I729" s="101"/>
      <c r="K729" s="228"/>
      <c r="L729" s="38"/>
      <c r="N729" s="23"/>
      <c r="O729" s="23"/>
      <c r="P729" s="23"/>
      <c r="Q729" s="23"/>
      <c r="R729" s="23"/>
    </row>
    <row r="730" spans="1:18" s="148" customFormat="1" x14ac:dyDescent="0.3">
      <c r="A730" s="38"/>
      <c r="B730" s="38"/>
      <c r="C730" s="23"/>
      <c r="D730" s="23"/>
      <c r="E730" s="23"/>
      <c r="F730" s="101"/>
      <c r="G730" s="101"/>
      <c r="H730" s="101"/>
      <c r="I730" s="101"/>
      <c r="K730" s="228"/>
      <c r="L730" s="38"/>
      <c r="N730" s="23"/>
      <c r="O730" s="23"/>
      <c r="P730" s="23"/>
      <c r="Q730" s="23"/>
      <c r="R730" s="23"/>
    </row>
    <row r="731" spans="1:18" s="148" customFormat="1" x14ac:dyDescent="0.3">
      <c r="A731" s="38"/>
      <c r="B731" s="38"/>
      <c r="C731" s="23"/>
      <c r="D731" s="23"/>
      <c r="E731" s="23"/>
      <c r="F731" s="101"/>
      <c r="G731" s="101"/>
      <c r="H731" s="101"/>
      <c r="I731" s="101"/>
      <c r="K731" s="228"/>
      <c r="L731" s="38"/>
      <c r="N731" s="23"/>
      <c r="O731" s="23"/>
      <c r="P731" s="23"/>
      <c r="Q731" s="23"/>
      <c r="R731" s="23"/>
    </row>
    <row r="732" spans="1:18" s="148" customFormat="1" x14ac:dyDescent="0.3">
      <c r="A732" s="38"/>
      <c r="B732" s="38"/>
      <c r="C732" s="23"/>
      <c r="D732" s="23"/>
      <c r="E732" s="23"/>
      <c r="F732" s="101"/>
      <c r="G732" s="101"/>
      <c r="H732" s="101"/>
      <c r="I732" s="101"/>
      <c r="K732" s="228"/>
      <c r="L732" s="38"/>
      <c r="N732" s="23"/>
      <c r="O732" s="23"/>
      <c r="P732" s="23"/>
      <c r="Q732" s="23"/>
      <c r="R732" s="23"/>
    </row>
    <row r="733" spans="1:18" s="148" customFormat="1" x14ac:dyDescent="0.3">
      <c r="A733" s="38"/>
      <c r="B733" s="38"/>
      <c r="C733" s="23"/>
      <c r="D733" s="23"/>
      <c r="E733" s="23"/>
      <c r="F733" s="101"/>
      <c r="G733" s="101"/>
      <c r="H733" s="101"/>
      <c r="I733" s="101"/>
      <c r="K733" s="228"/>
      <c r="L733" s="38"/>
      <c r="N733" s="23"/>
      <c r="O733" s="23"/>
      <c r="P733" s="23"/>
      <c r="Q733" s="23"/>
      <c r="R733" s="23"/>
    </row>
    <row r="734" spans="1:18" s="148" customFormat="1" x14ac:dyDescent="0.3">
      <c r="A734" s="38"/>
      <c r="B734" s="38"/>
      <c r="C734" s="23"/>
      <c r="D734" s="23"/>
      <c r="E734" s="23"/>
      <c r="F734" s="101"/>
      <c r="G734" s="101"/>
      <c r="H734" s="101"/>
      <c r="I734" s="101"/>
      <c r="K734" s="228"/>
      <c r="L734" s="38"/>
      <c r="N734" s="23"/>
      <c r="O734" s="23"/>
      <c r="P734" s="23"/>
      <c r="Q734" s="23"/>
      <c r="R734" s="23"/>
    </row>
    <row r="735" spans="1:18" s="148" customFormat="1" x14ac:dyDescent="0.3">
      <c r="A735" s="38"/>
      <c r="B735" s="38"/>
      <c r="C735" s="23"/>
      <c r="D735" s="23"/>
      <c r="E735" s="23"/>
      <c r="F735" s="101"/>
      <c r="G735" s="101"/>
      <c r="H735" s="101"/>
      <c r="I735" s="101"/>
      <c r="K735" s="228"/>
      <c r="L735" s="38"/>
      <c r="N735" s="23"/>
      <c r="O735" s="23"/>
      <c r="P735" s="23"/>
      <c r="Q735" s="23"/>
      <c r="R735" s="23"/>
    </row>
    <row r="736" spans="1:18" s="148" customFormat="1" x14ac:dyDescent="0.3">
      <c r="A736" s="38"/>
      <c r="B736" s="38"/>
      <c r="C736" s="23"/>
      <c r="D736" s="23"/>
      <c r="E736" s="23"/>
      <c r="F736" s="101"/>
      <c r="G736" s="101"/>
      <c r="H736" s="101"/>
      <c r="I736" s="101"/>
      <c r="K736" s="228"/>
      <c r="L736" s="38"/>
      <c r="N736" s="23"/>
      <c r="O736" s="23"/>
      <c r="P736" s="23"/>
      <c r="Q736" s="23"/>
      <c r="R736" s="23"/>
    </row>
    <row r="737" spans="1:18" s="148" customFormat="1" x14ac:dyDescent="0.3">
      <c r="A737" s="38"/>
      <c r="B737" s="38"/>
      <c r="C737" s="23"/>
      <c r="D737" s="23"/>
      <c r="E737" s="23"/>
      <c r="F737" s="101"/>
      <c r="G737" s="101"/>
      <c r="H737" s="101"/>
      <c r="I737" s="101"/>
      <c r="K737" s="228"/>
      <c r="L737" s="38"/>
      <c r="N737" s="23"/>
      <c r="O737" s="23"/>
      <c r="P737" s="23"/>
      <c r="Q737" s="23"/>
      <c r="R737" s="23"/>
    </row>
    <row r="738" spans="1:18" s="148" customFormat="1" x14ac:dyDescent="0.3">
      <c r="A738" s="38"/>
      <c r="B738" s="38"/>
      <c r="C738" s="23"/>
      <c r="D738" s="23"/>
      <c r="E738" s="23"/>
      <c r="F738" s="101"/>
      <c r="G738" s="101"/>
      <c r="H738" s="101"/>
      <c r="I738" s="101"/>
      <c r="K738" s="228"/>
      <c r="L738" s="38"/>
      <c r="N738" s="23"/>
      <c r="O738" s="23"/>
      <c r="P738" s="23"/>
      <c r="Q738" s="23"/>
      <c r="R738" s="23"/>
    </row>
    <row r="739" spans="1:18" s="148" customFormat="1" x14ac:dyDescent="0.3">
      <c r="A739" s="38"/>
      <c r="B739" s="38"/>
      <c r="C739" s="23"/>
      <c r="D739" s="23"/>
      <c r="E739" s="23"/>
      <c r="F739" s="101"/>
      <c r="G739" s="101"/>
      <c r="H739" s="101"/>
      <c r="I739" s="101"/>
      <c r="K739" s="228"/>
      <c r="L739" s="38"/>
      <c r="N739" s="23"/>
      <c r="O739" s="23"/>
      <c r="P739" s="23"/>
      <c r="Q739" s="23"/>
      <c r="R739" s="23"/>
    </row>
    <row r="740" spans="1:18" s="148" customFormat="1" x14ac:dyDescent="0.3">
      <c r="A740" s="38"/>
      <c r="B740" s="38"/>
      <c r="C740" s="23"/>
      <c r="D740" s="23"/>
      <c r="E740" s="23"/>
      <c r="F740" s="101"/>
      <c r="G740" s="101"/>
      <c r="H740" s="101"/>
      <c r="I740" s="101"/>
      <c r="K740" s="228"/>
      <c r="L740" s="38"/>
      <c r="N740" s="23"/>
      <c r="O740" s="23"/>
      <c r="P740" s="23"/>
      <c r="Q740" s="23"/>
      <c r="R740" s="23"/>
    </row>
    <row r="741" spans="1:18" s="148" customFormat="1" x14ac:dyDescent="0.3">
      <c r="A741" s="38"/>
      <c r="B741" s="38"/>
      <c r="C741" s="23"/>
      <c r="D741" s="23"/>
      <c r="E741" s="23"/>
      <c r="F741" s="101"/>
      <c r="G741" s="101"/>
      <c r="H741" s="101"/>
      <c r="I741" s="101"/>
      <c r="K741" s="228"/>
      <c r="L741" s="38"/>
      <c r="N741" s="23"/>
      <c r="O741" s="23"/>
      <c r="P741" s="23"/>
      <c r="Q741" s="23"/>
      <c r="R741" s="23"/>
    </row>
    <row r="742" spans="1:18" s="148" customFormat="1" x14ac:dyDescent="0.3">
      <c r="A742" s="38"/>
      <c r="B742" s="38"/>
      <c r="C742" s="23"/>
      <c r="D742" s="23"/>
      <c r="E742" s="23"/>
      <c r="F742" s="101"/>
      <c r="G742" s="101"/>
      <c r="H742" s="101"/>
      <c r="I742" s="101"/>
      <c r="K742" s="228"/>
      <c r="L742" s="38"/>
      <c r="N742" s="23"/>
      <c r="O742" s="23"/>
      <c r="P742" s="23"/>
      <c r="Q742" s="23"/>
      <c r="R742" s="23"/>
    </row>
    <row r="743" spans="1:18" s="148" customFormat="1" x14ac:dyDescent="0.3">
      <c r="A743" s="38"/>
      <c r="B743" s="38"/>
      <c r="C743" s="23"/>
      <c r="D743" s="23"/>
      <c r="E743" s="23"/>
      <c r="F743" s="101"/>
      <c r="G743" s="101"/>
      <c r="H743" s="101"/>
      <c r="I743" s="101"/>
      <c r="K743" s="228"/>
      <c r="L743" s="38"/>
      <c r="N743" s="23"/>
      <c r="O743" s="23"/>
      <c r="P743" s="23"/>
      <c r="Q743" s="23"/>
      <c r="R743" s="23"/>
    </row>
    <row r="744" spans="1:18" s="148" customFormat="1" x14ac:dyDescent="0.3">
      <c r="A744" s="38"/>
      <c r="B744" s="38"/>
      <c r="C744" s="23"/>
      <c r="D744" s="23"/>
      <c r="E744" s="23"/>
      <c r="F744" s="101"/>
      <c r="G744" s="101"/>
      <c r="H744" s="101"/>
      <c r="I744" s="101"/>
      <c r="K744" s="228"/>
      <c r="L744" s="38"/>
      <c r="N744" s="23"/>
      <c r="O744" s="23"/>
      <c r="P744" s="23"/>
      <c r="Q744" s="23"/>
      <c r="R744" s="23"/>
    </row>
    <row r="745" spans="1:18" s="148" customFormat="1" x14ac:dyDescent="0.3">
      <c r="A745" s="38"/>
      <c r="B745" s="38"/>
      <c r="C745" s="23"/>
      <c r="D745" s="23"/>
      <c r="E745" s="23"/>
      <c r="F745" s="101"/>
      <c r="G745" s="101"/>
      <c r="H745" s="101"/>
      <c r="I745" s="101"/>
      <c r="K745" s="228"/>
      <c r="L745" s="38"/>
      <c r="N745" s="23"/>
      <c r="O745" s="23"/>
      <c r="P745" s="23"/>
      <c r="Q745" s="23"/>
      <c r="R745" s="23"/>
    </row>
    <row r="746" spans="1:18" s="148" customFormat="1" x14ac:dyDescent="0.3">
      <c r="A746" s="38"/>
      <c r="B746" s="38"/>
      <c r="C746" s="23"/>
      <c r="D746" s="23"/>
      <c r="E746" s="23"/>
      <c r="F746" s="101"/>
      <c r="G746" s="101"/>
      <c r="H746" s="101"/>
      <c r="I746" s="101"/>
      <c r="K746" s="228"/>
      <c r="L746" s="38"/>
      <c r="N746" s="23"/>
      <c r="O746" s="23"/>
      <c r="P746" s="23"/>
      <c r="Q746" s="23"/>
      <c r="R746" s="23"/>
    </row>
    <row r="747" spans="1:18" s="148" customFormat="1" x14ac:dyDescent="0.3">
      <c r="A747" s="38"/>
      <c r="B747" s="38"/>
      <c r="C747" s="23"/>
      <c r="D747" s="23"/>
      <c r="E747" s="23"/>
      <c r="F747" s="101"/>
      <c r="G747" s="101"/>
      <c r="H747" s="101"/>
      <c r="I747" s="101"/>
      <c r="K747" s="228"/>
      <c r="L747" s="38"/>
      <c r="N747" s="23"/>
      <c r="O747" s="23"/>
      <c r="P747" s="23"/>
      <c r="Q747" s="23"/>
      <c r="R747" s="23"/>
    </row>
    <row r="748" spans="1:18" s="148" customFormat="1" x14ac:dyDescent="0.3">
      <c r="A748" s="38"/>
      <c r="B748" s="38"/>
      <c r="C748" s="23"/>
      <c r="D748" s="23"/>
      <c r="E748" s="23"/>
      <c r="F748" s="101"/>
      <c r="G748" s="101"/>
      <c r="H748" s="101"/>
      <c r="I748" s="101"/>
      <c r="K748" s="228"/>
      <c r="L748" s="38"/>
      <c r="N748" s="23"/>
      <c r="O748" s="23"/>
      <c r="P748" s="23"/>
      <c r="Q748" s="23"/>
      <c r="R748" s="23"/>
    </row>
    <row r="749" spans="1:18" s="148" customFormat="1" x14ac:dyDescent="0.3">
      <c r="A749" s="38"/>
      <c r="B749" s="38"/>
      <c r="C749" s="23"/>
      <c r="D749" s="23"/>
      <c r="E749" s="23"/>
      <c r="F749" s="101"/>
      <c r="G749" s="101"/>
      <c r="H749" s="101"/>
      <c r="I749" s="101"/>
      <c r="K749" s="228"/>
      <c r="L749" s="38"/>
      <c r="N749" s="23"/>
      <c r="O749" s="23"/>
      <c r="P749" s="23"/>
      <c r="Q749" s="23"/>
      <c r="R749" s="23"/>
    </row>
    <row r="750" spans="1:18" s="148" customFormat="1" x14ac:dyDescent="0.3">
      <c r="A750" s="38"/>
      <c r="B750" s="38"/>
      <c r="C750" s="23"/>
      <c r="D750" s="23"/>
      <c r="E750" s="23"/>
      <c r="F750" s="101"/>
      <c r="G750" s="101"/>
      <c r="H750" s="101"/>
      <c r="I750" s="101"/>
      <c r="K750" s="228"/>
      <c r="L750" s="38"/>
      <c r="N750" s="23"/>
      <c r="O750" s="23"/>
      <c r="P750" s="23"/>
      <c r="Q750" s="23"/>
      <c r="R750" s="23"/>
    </row>
    <row r="751" spans="1:18" s="148" customFormat="1" x14ac:dyDescent="0.3">
      <c r="A751" s="38"/>
      <c r="B751" s="38"/>
      <c r="C751" s="23"/>
      <c r="D751" s="23"/>
      <c r="E751" s="23"/>
      <c r="F751" s="101"/>
      <c r="G751" s="101"/>
      <c r="H751" s="101"/>
      <c r="I751" s="101"/>
      <c r="K751" s="228"/>
      <c r="L751" s="38"/>
      <c r="N751" s="23"/>
      <c r="O751" s="23"/>
      <c r="P751" s="23"/>
      <c r="Q751" s="23"/>
      <c r="R751" s="23"/>
    </row>
    <row r="752" spans="1:18" s="148" customFormat="1" x14ac:dyDescent="0.3">
      <c r="A752" s="38"/>
      <c r="B752" s="38"/>
      <c r="C752" s="23"/>
      <c r="D752" s="23"/>
      <c r="E752" s="23"/>
      <c r="F752" s="101"/>
      <c r="G752" s="101"/>
      <c r="H752" s="101"/>
      <c r="I752" s="101"/>
      <c r="K752" s="228"/>
      <c r="L752" s="38"/>
      <c r="N752" s="23"/>
      <c r="O752" s="23"/>
      <c r="P752" s="23"/>
      <c r="Q752" s="23"/>
      <c r="R752" s="23"/>
    </row>
    <row r="753" spans="1:18" s="148" customFormat="1" x14ac:dyDescent="0.3">
      <c r="A753" s="38"/>
      <c r="B753" s="38"/>
      <c r="C753" s="23"/>
      <c r="D753" s="23"/>
      <c r="E753" s="23"/>
      <c r="F753" s="101"/>
      <c r="G753" s="101"/>
      <c r="H753" s="101"/>
      <c r="I753" s="101"/>
      <c r="K753" s="228"/>
      <c r="L753" s="38"/>
      <c r="N753" s="23"/>
      <c r="O753" s="23"/>
      <c r="P753" s="23"/>
      <c r="Q753" s="23"/>
      <c r="R753" s="23"/>
    </row>
    <row r="754" spans="1:18" s="148" customFormat="1" x14ac:dyDescent="0.3">
      <c r="A754" s="38"/>
      <c r="B754" s="38"/>
      <c r="C754" s="23"/>
      <c r="D754" s="23"/>
      <c r="E754" s="23"/>
      <c r="F754" s="101"/>
      <c r="G754" s="101"/>
      <c r="H754" s="101"/>
      <c r="I754" s="101"/>
      <c r="K754" s="228"/>
      <c r="L754" s="38"/>
      <c r="N754" s="23"/>
      <c r="O754" s="23"/>
      <c r="P754" s="23"/>
      <c r="Q754" s="23"/>
      <c r="R754" s="23"/>
    </row>
    <row r="755" spans="1:18" s="148" customFormat="1" x14ac:dyDescent="0.3">
      <c r="A755" s="38"/>
      <c r="B755" s="38"/>
      <c r="C755" s="23"/>
      <c r="D755" s="23"/>
      <c r="E755" s="23"/>
      <c r="F755" s="101"/>
      <c r="G755" s="101"/>
      <c r="H755" s="101"/>
      <c r="I755" s="101"/>
      <c r="K755" s="228"/>
      <c r="L755" s="38"/>
      <c r="N755" s="23"/>
      <c r="O755" s="23"/>
      <c r="P755" s="23"/>
      <c r="Q755" s="23"/>
      <c r="R755" s="23"/>
    </row>
    <row r="756" spans="1:18" s="148" customFormat="1" x14ac:dyDescent="0.3">
      <c r="A756" s="38"/>
      <c r="B756" s="38"/>
      <c r="C756" s="23"/>
      <c r="D756" s="23"/>
      <c r="E756" s="23"/>
      <c r="F756" s="101"/>
      <c r="G756" s="101"/>
      <c r="H756" s="101"/>
      <c r="I756" s="101"/>
      <c r="K756" s="228"/>
      <c r="L756" s="38"/>
      <c r="N756" s="23"/>
      <c r="O756" s="23"/>
      <c r="P756" s="23"/>
      <c r="Q756" s="23"/>
      <c r="R756" s="23"/>
    </row>
    <row r="757" spans="1:18" s="148" customFormat="1" x14ac:dyDescent="0.3">
      <c r="A757" s="38"/>
      <c r="B757" s="38"/>
      <c r="C757" s="23"/>
      <c r="D757" s="23"/>
      <c r="E757" s="23"/>
      <c r="F757" s="101"/>
      <c r="G757" s="101"/>
      <c r="H757" s="101"/>
      <c r="I757" s="101"/>
      <c r="K757" s="228"/>
      <c r="L757" s="38"/>
      <c r="N757" s="23"/>
      <c r="O757" s="23"/>
      <c r="P757" s="23"/>
      <c r="Q757" s="23"/>
      <c r="R757" s="23"/>
    </row>
    <row r="758" spans="1:18" s="148" customFormat="1" x14ac:dyDescent="0.3">
      <c r="A758" s="38"/>
      <c r="B758" s="38"/>
      <c r="C758" s="23"/>
      <c r="D758" s="23"/>
      <c r="E758" s="23"/>
      <c r="F758" s="101"/>
      <c r="G758" s="101"/>
      <c r="H758" s="101"/>
      <c r="I758" s="101"/>
      <c r="K758" s="228"/>
      <c r="L758" s="38"/>
      <c r="N758" s="23"/>
      <c r="O758" s="23"/>
      <c r="P758" s="23"/>
      <c r="Q758" s="23"/>
      <c r="R758" s="23"/>
    </row>
    <row r="759" spans="1:18" s="148" customFormat="1" x14ac:dyDescent="0.3">
      <c r="A759" s="38"/>
      <c r="B759" s="38"/>
      <c r="C759" s="23"/>
      <c r="D759" s="23"/>
      <c r="E759" s="23"/>
      <c r="F759" s="101"/>
      <c r="G759" s="101"/>
      <c r="H759" s="101"/>
      <c r="I759" s="101"/>
      <c r="K759" s="228"/>
      <c r="L759" s="38"/>
      <c r="N759" s="23"/>
      <c r="O759" s="23"/>
      <c r="P759" s="23"/>
      <c r="Q759" s="23"/>
      <c r="R759" s="23"/>
    </row>
    <row r="760" spans="1:18" s="148" customFormat="1" x14ac:dyDescent="0.3">
      <c r="A760" s="38"/>
      <c r="B760" s="38"/>
      <c r="C760" s="23"/>
      <c r="D760" s="23"/>
      <c r="E760" s="23"/>
      <c r="F760" s="101"/>
      <c r="G760" s="101"/>
      <c r="H760" s="101"/>
      <c r="I760" s="101"/>
      <c r="K760" s="228"/>
      <c r="L760" s="38"/>
      <c r="N760" s="23"/>
      <c r="O760" s="23"/>
      <c r="P760" s="23"/>
      <c r="Q760" s="23"/>
      <c r="R760" s="23"/>
    </row>
    <row r="761" spans="1:18" s="148" customFormat="1" x14ac:dyDescent="0.3">
      <c r="A761" s="38"/>
      <c r="B761" s="38"/>
      <c r="C761" s="23"/>
      <c r="D761" s="23"/>
      <c r="E761" s="23"/>
      <c r="F761" s="101"/>
      <c r="G761" s="101"/>
      <c r="H761" s="101"/>
      <c r="I761" s="101"/>
      <c r="K761" s="228"/>
      <c r="L761" s="38"/>
      <c r="N761" s="23"/>
      <c r="O761" s="23"/>
      <c r="P761" s="23"/>
      <c r="Q761" s="23"/>
      <c r="R761" s="23"/>
    </row>
    <row r="762" spans="1:18" s="148" customFormat="1" x14ac:dyDescent="0.3">
      <c r="A762" s="38"/>
      <c r="B762" s="38"/>
      <c r="C762" s="23"/>
      <c r="D762" s="23"/>
      <c r="E762" s="23"/>
      <c r="F762" s="101"/>
      <c r="G762" s="101"/>
      <c r="H762" s="101"/>
      <c r="I762" s="101"/>
      <c r="K762" s="228"/>
      <c r="L762" s="38"/>
      <c r="N762" s="23"/>
      <c r="O762" s="23"/>
      <c r="P762" s="23"/>
      <c r="Q762" s="23"/>
      <c r="R762" s="23"/>
    </row>
    <row r="763" spans="1:18" s="148" customFormat="1" x14ac:dyDescent="0.3">
      <c r="A763" s="38"/>
      <c r="B763" s="38"/>
      <c r="C763" s="23"/>
      <c r="D763" s="23"/>
      <c r="E763" s="23"/>
      <c r="F763" s="101"/>
      <c r="G763" s="101"/>
      <c r="H763" s="101"/>
      <c r="I763" s="101"/>
      <c r="K763" s="228"/>
      <c r="L763" s="38"/>
      <c r="N763" s="23"/>
      <c r="O763" s="23"/>
      <c r="P763" s="23"/>
      <c r="Q763" s="23"/>
      <c r="R763" s="23"/>
    </row>
    <row r="764" spans="1:18" s="148" customFormat="1" x14ac:dyDescent="0.3">
      <c r="A764" s="38"/>
      <c r="B764" s="38"/>
      <c r="C764" s="23"/>
      <c r="D764" s="23"/>
      <c r="E764" s="23"/>
      <c r="F764" s="101"/>
      <c r="G764" s="101"/>
      <c r="H764" s="101"/>
      <c r="I764" s="101"/>
      <c r="K764" s="228"/>
      <c r="L764" s="38"/>
      <c r="N764" s="23"/>
      <c r="O764" s="23"/>
      <c r="P764" s="23"/>
      <c r="Q764" s="23"/>
      <c r="R764" s="23"/>
    </row>
    <row r="765" spans="1:18" s="148" customFormat="1" x14ac:dyDescent="0.3">
      <c r="A765" s="38"/>
      <c r="B765" s="38"/>
      <c r="C765" s="23"/>
      <c r="D765" s="23"/>
      <c r="E765" s="23"/>
      <c r="F765" s="101"/>
      <c r="G765" s="101"/>
      <c r="H765" s="101"/>
      <c r="I765" s="101"/>
      <c r="K765" s="228"/>
      <c r="L765" s="38"/>
      <c r="N765" s="23"/>
      <c r="O765" s="23"/>
      <c r="P765" s="23"/>
      <c r="Q765" s="23"/>
      <c r="R765" s="23"/>
    </row>
    <row r="766" spans="1:18" s="148" customFormat="1" x14ac:dyDescent="0.3">
      <c r="A766" s="38"/>
      <c r="B766" s="38"/>
      <c r="C766" s="23"/>
      <c r="D766" s="23"/>
      <c r="E766" s="23"/>
      <c r="F766" s="101"/>
      <c r="G766" s="101"/>
      <c r="H766" s="101"/>
      <c r="I766" s="101"/>
      <c r="K766" s="228"/>
      <c r="L766" s="38"/>
      <c r="N766" s="23"/>
      <c r="O766" s="23"/>
      <c r="P766" s="23"/>
      <c r="Q766" s="23"/>
      <c r="R766" s="23"/>
    </row>
    <row r="767" spans="1:18" s="148" customFormat="1" x14ac:dyDescent="0.3">
      <c r="A767" s="38"/>
      <c r="B767" s="38"/>
      <c r="C767" s="23"/>
      <c r="D767" s="23"/>
      <c r="E767" s="23"/>
      <c r="F767" s="101"/>
      <c r="G767" s="101"/>
      <c r="H767" s="101"/>
      <c r="I767" s="101"/>
      <c r="K767" s="228"/>
      <c r="L767" s="38"/>
      <c r="N767" s="23"/>
      <c r="O767" s="23"/>
      <c r="P767" s="23"/>
      <c r="Q767" s="23"/>
      <c r="R767" s="23"/>
    </row>
    <row r="768" spans="1:18" s="148" customFormat="1" x14ac:dyDescent="0.3">
      <c r="A768" s="38"/>
      <c r="B768" s="38"/>
      <c r="C768" s="23"/>
      <c r="D768" s="23"/>
      <c r="E768" s="23"/>
      <c r="F768" s="101"/>
      <c r="G768" s="101"/>
      <c r="H768" s="101"/>
      <c r="I768" s="101"/>
      <c r="K768" s="228"/>
      <c r="L768" s="38"/>
      <c r="N768" s="23"/>
      <c r="O768" s="23"/>
      <c r="P768" s="23"/>
      <c r="Q768" s="23"/>
      <c r="R768" s="23"/>
    </row>
    <row r="769" spans="1:18" s="148" customFormat="1" x14ac:dyDescent="0.3">
      <c r="A769" s="38"/>
      <c r="B769" s="38"/>
      <c r="C769" s="23"/>
      <c r="D769" s="23"/>
      <c r="E769" s="23"/>
      <c r="F769" s="101"/>
      <c r="G769" s="101"/>
      <c r="H769" s="101"/>
      <c r="I769" s="101"/>
      <c r="K769" s="228"/>
      <c r="L769" s="38"/>
      <c r="N769" s="23"/>
      <c r="O769" s="23"/>
      <c r="P769" s="23"/>
      <c r="Q769" s="23"/>
      <c r="R769" s="23"/>
    </row>
    <row r="770" spans="1:18" s="148" customFormat="1" x14ac:dyDescent="0.3">
      <c r="A770" s="38"/>
      <c r="B770" s="38"/>
      <c r="C770" s="23"/>
      <c r="D770" s="23"/>
      <c r="E770" s="23"/>
      <c r="F770" s="101"/>
      <c r="G770" s="101"/>
      <c r="H770" s="101"/>
      <c r="I770" s="101"/>
      <c r="K770" s="228"/>
      <c r="L770" s="38"/>
      <c r="N770" s="23"/>
      <c r="O770" s="23"/>
      <c r="P770" s="23"/>
      <c r="Q770" s="23"/>
      <c r="R770" s="23"/>
    </row>
    <row r="771" spans="1:18" s="148" customFormat="1" x14ac:dyDescent="0.3">
      <c r="A771" s="38"/>
      <c r="B771" s="38"/>
      <c r="C771" s="23"/>
      <c r="D771" s="23"/>
      <c r="E771" s="23"/>
      <c r="F771" s="101"/>
      <c r="G771" s="101"/>
      <c r="H771" s="101"/>
      <c r="I771" s="101"/>
      <c r="K771" s="228"/>
      <c r="L771" s="38"/>
      <c r="N771" s="23"/>
      <c r="O771" s="23"/>
      <c r="P771" s="23"/>
      <c r="Q771" s="23"/>
      <c r="R771" s="23"/>
    </row>
    <row r="772" spans="1:18" s="148" customFormat="1" x14ac:dyDescent="0.3">
      <c r="A772" s="38"/>
      <c r="B772" s="38"/>
      <c r="C772" s="23"/>
      <c r="D772" s="23"/>
      <c r="E772" s="23"/>
      <c r="F772" s="101"/>
      <c r="G772" s="101"/>
      <c r="H772" s="101"/>
      <c r="I772" s="101"/>
      <c r="K772" s="228"/>
      <c r="L772" s="38"/>
      <c r="N772" s="23"/>
      <c r="O772" s="23"/>
      <c r="P772" s="23"/>
      <c r="Q772" s="23"/>
      <c r="R772" s="23"/>
    </row>
    <row r="773" spans="1:18" s="148" customFormat="1" x14ac:dyDescent="0.3">
      <c r="A773" s="38"/>
      <c r="B773" s="38"/>
      <c r="C773" s="23"/>
      <c r="D773" s="23"/>
      <c r="E773" s="23"/>
      <c r="F773" s="101"/>
      <c r="G773" s="101"/>
      <c r="H773" s="101"/>
      <c r="I773" s="101"/>
      <c r="K773" s="228"/>
      <c r="L773" s="38"/>
      <c r="N773" s="23"/>
      <c r="O773" s="23"/>
      <c r="P773" s="23"/>
      <c r="Q773" s="23"/>
      <c r="R773" s="23"/>
    </row>
    <row r="774" spans="1:18" s="148" customFormat="1" x14ac:dyDescent="0.3">
      <c r="A774" s="38"/>
      <c r="B774" s="38"/>
      <c r="C774" s="23"/>
      <c r="D774" s="23"/>
      <c r="E774" s="23"/>
      <c r="F774" s="101"/>
      <c r="G774" s="101"/>
      <c r="H774" s="101"/>
      <c r="I774" s="101"/>
      <c r="K774" s="228"/>
      <c r="L774" s="38"/>
      <c r="N774" s="23"/>
      <c r="O774" s="23"/>
      <c r="P774" s="23"/>
      <c r="Q774" s="23"/>
      <c r="R774" s="23"/>
    </row>
    <row r="775" spans="1:18" s="148" customFormat="1" x14ac:dyDescent="0.3">
      <c r="A775" s="38"/>
      <c r="B775" s="38"/>
      <c r="C775" s="23"/>
      <c r="D775" s="23"/>
      <c r="E775" s="23"/>
      <c r="F775" s="101"/>
      <c r="G775" s="101"/>
      <c r="H775" s="101"/>
      <c r="I775" s="101"/>
      <c r="K775" s="228"/>
      <c r="L775" s="38"/>
      <c r="N775" s="23"/>
      <c r="O775" s="23"/>
      <c r="P775" s="23"/>
      <c r="Q775" s="23"/>
      <c r="R775" s="23"/>
    </row>
    <row r="776" spans="1:18" s="148" customFormat="1" x14ac:dyDescent="0.3">
      <c r="A776" s="38"/>
      <c r="B776" s="38"/>
      <c r="C776" s="23"/>
      <c r="D776" s="23"/>
      <c r="E776" s="23"/>
      <c r="F776" s="101"/>
      <c r="G776" s="101"/>
      <c r="H776" s="101"/>
      <c r="I776" s="101"/>
      <c r="K776" s="228"/>
      <c r="L776" s="38"/>
      <c r="N776" s="23"/>
      <c r="O776" s="23"/>
      <c r="P776" s="23"/>
      <c r="Q776" s="23"/>
      <c r="R776" s="23"/>
    </row>
    <row r="777" spans="1:18" s="148" customFormat="1" x14ac:dyDescent="0.3">
      <c r="A777" s="38"/>
      <c r="B777" s="38"/>
      <c r="C777" s="23"/>
      <c r="D777" s="23"/>
      <c r="E777" s="23"/>
      <c r="F777" s="101"/>
      <c r="G777" s="101"/>
      <c r="H777" s="101"/>
      <c r="I777" s="101"/>
      <c r="K777" s="228"/>
      <c r="L777" s="38"/>
      <c r="N777" s="23"/>
      <c r="O777" s="23"/>
      <c r="P777" s="23"/>
      <c r="Q777" s="23"/>
      <c r="R777" s="23"/>
    </row>
    <row r="778" spans="1:18" s="148" customFormat="1" x14ac:dyDescent="0.3">
      <c r="A778" s="38"/>
      <c r="B778" s="38"/>
      <c r="C778" s="23"/>
      <c r="D778" s="23"/>
      <c r="E778" s="23"/>
      <c r="F778" s="101"/>
      <c r="G778" s="101"/>
      <c r="H778" s="101"/>
      <c r="I778" s="101"/>
      <c r="K778" s="228"/>
      <c r="L778" s="38"/>
      <c r="N778" s="23"/>
      <c r="O778" s="23"/>
      <c r="P778" s="23"/>
      <c r="Q778" s="23"/>
      <c r="R778" s="23"/>
    </row>
    <row r="779" spans="1:18" s="148" customFormat="1" x14ac:dyDescent="0.3">
      <c r="A779" s="38"/>
      <c r="B779" s="38"/>
      <c r="C779" s="23"/>
      <c r="D779" s="23"/>
      <c r="E779" s="23"/>
      <c r="F779" s="101"/>
      <c r="G779" s="101"/>
      <c r="H779" s="101"/>
      <c r="I779" s="101"/>
      <c r="K779" s="228"/>
      <c r="L779" s="38"/>
      <c r="N779" s="23"/>
      <c r="O779" s="23"/>
      <c r="P779" s="23"/>
      <c r="Q779" s="23"/>
      <c r="R779" s="23"/>
    </row>
    <row r="780" spans="1:18" s="148" customFormat="1" x14ac:dyDescent="0.3">
      <c r="A780" s="38"/>
      <c r="B780" s="38"/>
      <c r="C780" s="23"/>
      <c r="D780" s="23"/>
      <c r="E780" s="23"/>
      <c r="F780" s="101"/>
      <c r="G780" s="101"/>
      <c r="H780" s="101"/>
      <c r="I780" s="101"/>
      <c r="K780" s="228"/>
      <c r="L780" s="38"/>
      <c r="N780" s="23"/>
      <c r="O780" s="23"/>
      <c r="P780" s="23"/>
      <c r="Q780" s="23"/>
      <c r="R780" s="23"/>
    </row>
    <row r="781" spans="1:18" s="148" customFormat="1" x14ac:dyDescent="0.3">
      <c r="A781" s="38"/>
      <c r="B781" s="38"/>
      <c r="C781" s="23"/>
      <c r="D781" s="23"/>
      <c r="E781" s="23"/>
      <c r="F781" s="101"/>
      <c r="G781" s="101"/>
      <c r="H781" s="101"/>
      <c r="I781" s="101"/>
      <c r="K781" s="228"/>
      <c r="L781" s="38"/>
      <c r="N781" s="23"/>
      <c r="O781" s="23"/>
      <c r="P781" s="23"/>
      <c r="Q781" s="23"/>
      <c r="R781" s="23"/>
    </row>
    <row r="782" spans="1:18" s="148" customFormat="1" x14ac:dyDescent="0.3">
      <c r="A782" s="38"/>
      <c r="B782" s="38"/>
      <c r="C782" s="23"/>
      <c r="D782" s="23"/>
      <c r="E782" s="23"/>
      <c r="F782" s="101"/>
      <c r="G782" s="101"/>
      <c r="H782" s="101"/>
      <c r="I782" s="101"/>
      <c r="K782" s="228"/>
      <c r="L782" s="38"/>
      <c r="N782" s="23"/>
      <c r="O782" s="23"/>
      <c r="P782" s="23"/>
      <c r="Q782" s="23"/>
      <c r="R782" s="23"/>
    </row>
    <row r="783" spans="1:18" s="148" customFormat="1" x14ac:dyDescent="0.3">
      <c r="A783" s="38"/>
      <c r="B783" s="38"/>
      <c r="C783" s="23"/>
      <c r="D783" s="23"/>
      <c r="E783" s="23"/>
      <c r="F783" s="101"/>
      <c r="G783" s="101"/>
      <c r="H783" s="101"/>
      <c r="I783" s="101"/>
      <c r="K783" s="228"/>
      <c r="L783" s="38"/>
      <c r="N783" s="23"/>
      <c r="O783" s="23"/>
      <c r="P783" s="23"/>
      <c r="Q783" s="23"/>
      <c r="R783" s="23"/>
    </row>
    <row r="784" spans="1:18" s="148" customFormat="1" x14ac:dyDescent="0.3">
      <c r="A784" s="38"/>
      <c r="B784" s="38"/>
      <c r="C784" s="23"/>
      <c r="D784" s="23"/>
      <c r="E784" s="23"/>
      <c r="F784" s="101"/>
      <c r="G784" s="101"/>
      <c r="H784" s="101"/>
      <c r="I784" s="101"/>
      <c r="K784" s="228"/>
      <c r="L784" s="38"/>
      <c r="N784" s="23"/>
      <c r="O784" s="23"/>
      <c r="P784" s="23"/>
      <c r="Q784" s="23"/>
      <c r="R784" s="23"/>
    </row>
    <row r="785" spans="1:18" s="148" customFormat="1" x14ac:dyDescent="0.3">
      <c r="A785" s="38"/>
      <c r="B785" s="38"/>
      <c r="C785" s="23"/>
      <c r="D785" s="23"/>
      <c r="E785" s="23"/>
      <c r="F785" s="101"/>
      <c r="G785" s="101"/>
      <c r="H785" s="101"/>
      <c r="I785" s="101"/>
      <c r="K785" s="228"/>
      <c r="L785" s="38"/>
      <c r="N785" s="23"/>
      <c r="O785" s="23"/>
      <c r="P785" s="23"/>
      <c r="Q785" s="23"/>
      <c r="R785" s="23"/>
    </row>
    <row r="786" spans="1:18" s="148" customFormat="1" x14ac:dyDescent="0.3">
      <c r="A786" s="38"/>
      <c r="B786" s="38"/>
      <c r="C786" s="23"/>
      <c r="D786" s="23"/>
      <c r="E786" s="23"/>
      <c r="F786" s="101"/>
      <c r="G786" s="101"/>
      <c r="H786" s="101"/>
      <c r="I786" s="101"/>
      <c r="K786" s="228"/>
      <c r="L786" s="38"/>
      <c r="N786" s="23"/>
      <c r="O786" s="23"/>
      <c r="P786" s="23"/>
      <c r="Q786" s="23"/>
      <c r="R786" s="23"/>
    </row>
    <row r="787" spans="1:18" s="148" customFormat="1" x14ac:dyDescent="0.3">
      <c r="A787" s="38"/>
      <c r="B787" s="38"/>
      <c r="C787" s="23"/>
      <c r="D787" s="23"/>
      <c r="E787" s="23"/>
      <c r="F787" s="101"/>
      <c r="G787" s="101"/>
      <c r="H787" s="101"/>
      <c r="I787" s="101"/>
      <c r="K787" s="228"/>
      <c r="L787" s="38"/>
      <c r="N787" s="23"/>
      <c r="O787" s="23"/>
      <c r="P787" s="23"/>
      <c r="Q787" s="23"/>
      <c r="R787" s="23"/>
    </row>
    <row r="788" spans="1:18" s="148" customFormat="1" x14ac:dyDescent="0.3">
      <c r="A788" s="38"/>
      <c r="B788" s="38"/>
      <c r="C788" s="23"/>
      <c r="D788" s="23"/>
      <c r="E788" s="23"/>
      <c r="F788" s="101"/>
      <c r="G788" s="101"/>
      <c r="H788" s="101"/>
      <c r="I788" s="101"/>
      <c r="K788" s="228"/>
      <c r="L788" s="38"/>
      <c r="N788" s="23"/>
      <c r="O788" s="23"/>
      <c r="P788" s="23"/>
      <c r="Q788" s="23"/>
      <c r="R788" s="23"/>
    </row>
    <row r="789" spans="1:18" s="148" customFormat="1" x14ac:dyDescent="0.3">
      <c r="A789" s="38"/>
      <c r="B789" s="38"/>
      <c r="C789" s="23"/>
      <c r="D789" s="23"/>
      <c r="E789" s="23"/>
      <c r="F789" s="101"/>
      <c r="G789" s="101"/>
      <c r="H789" s="101"/>
      <c r="I789" s="101"/>
      <c r="K789" s="228"/>
      <c r="L789" s="38"/>
      <c r="N789" s="23"/>
      <c r="O789" s="23"/>
      <c r="P789" s="23"/>
      <c r="Q789" s="23"/>
      <c r="R789" s="23"/>
    </row>
    <row r="790" spans="1:18" s="148" customFormat="1" x14ac:dyDescent="0.3">
      <c r="A790" s="38"/>
      <c r="B790" s="38"/>
      <c r="C790" s="23"/>
      <c r="D790" s="23"/>
      <c r="E790" s="23"/>
      <c r="F790" s="101"/>
      <c r="G790" s="101"/>
      <c r="H790" s="101"/>
      <c r="I790" s="101"/>
      <c r="K790" s="228"/>
      <c r="L790" s="38"/>
      <c r="N790" s="23"/>
      <c r="O790" s="23"/>
      <c r="P790" s="23"/>
      <c r="Q790" s="23"/>
      <c r="R790" s="23"/>
    </row>
    <row r="791" spans="1:18" s="148" customFormat="1" x14ac:dyDescent="0.3">
      <c r="A791" s="38"/>
      <c r="B791" s="38"/>
      <c r="C791" s="23"/>
      <c r="D791" s="23"/>
      <c r="E791" s="23"/>
      <c r="F791" s="101"/>
      <c r="G791" s="101"/>
      <c r="H791" s="101"/>
      <c r="I791" s="101"/>
      <c r="K791" s="228"/>
      <c r="L791" s="38"/>
      <c r="N791" s="23"/>
      <c r="O791" s="23"/>
      <c r="P791" s="23"/>
      <c r="Q791" s="23"/>
      <c r="R791" s="23"/>
    </row>
    <row r="792" spans="1:18" s="148" customFormat="1" x14ac:dyDescent="0.3">
      <c r="A792" s="38"/>
      <c r="B792" s="38"/>
      <c r="C792" s="23"/>
      <c r="D792" s="23"/>
      <c r="E792" s="23"/>
      <c r="F792" s="101"/>
      <c r="G792" s="101"/>
      <c r="H792" s="101"/>
      <c r="I792" s="101"/>
      <c r="K792" s="228"/>
      <c r="L792" s="38"/>
      <c r="N792" s="23"/>
      <c r="O792" s="23"/>
      <c r="P792" s="23"/>
      <c r="Q792" s="23"/>
      <c r="R792" s="23"/>
    </row>
    <row r="793" spans="1:18" s="148" customFormat="1" x14ac:dyDescent="0.3">
      <c r="A793" s="38"/>
      <c r="B793" s="38"/>
      <c r="C793" s="23"/>
      <c r="D793" s="23"/>
      <c r="E793" s="23"/>
      <c r="F793" s="101"/>
      <c r="G793" s="101"/>
      <c r="H793" s="101"/>
      <c r="I793" s="101"/>
      <c r="K793" s="228"/>
      <c r="L793" s="38"/>
      <c r="N793" s="23"/>
      <c r="O793" s="23"/>
      <c r="P793" s="23"/>
      <c r="Q793" s="23"/>
      <c r="R793" s="23"/>
    </row>
    <row r="794" spans="1:18" s="148" customFormat="1" x14ac:dyDescent="0.3">
      <c r="A794" s="38"/>
      <c r="B794" s="38"/>
      <c r="C794" s="23"/>
      <c r="D794" s="23"/>
      <c r="E794" s="23"/>
      <c r="F794" s="101"/>
      <c r="G794" s="101"/>
      <c r="H794" s="101"/>
      <c r="I794" s="101"/>
      <c r="K794" s="228"/>
      <c r="L794" s="38"/>
      <c r="N794" s="23"/>
      <c r="O794" s="23"/>
      <c r="P794" s="23"/>
      <c r="Q794" s="23"/>
      <c r="R794" s="23"/>
    </row>
    <row r="795" spans="1:18" s="148" customFormat="1" x14ac:dyDescent="0.3">
      <c r="A795" s="38"/>
      <c r="B795" s="38"/>
      <c r="C795" s="23"/>
      <c r="D795" s="23"/>
      <c r="E795" s="23"/>
      <c r="F795" s="101"/>
      <c r="G795" s="101"/>
      <c r="H795" s="101"/>
      <c r="I795" s="101"/>
      <c r="K795" s="228"/>
      <c r="L795" s="38"/>
      <c r="N795" s="23"/>
      <c r="O795" s="23"/>
      <c r="P795" s="23"/>
      <c r="Q795" s="23"/>
      <c r="R795" s="23"/>
    </row>
    <row r="796" spans="1:18" s="148" customFormat="1" x14ac:dyDescent="0.3">
      <c r="A796" s="38"/>
      <c r="B796" s="38"/>
      <c r="C796" s="23"/>
      <c r="D796" s="23"/>
      <c r="E796" s="23"/>
      <c r="F796" s="101"/>
      <c r="G796" s="101"/>
      <c r="H796" s="101"/>
      <c r="I796" s="101"/>
      <c r="K796" s="228"/>
      <c r="L796" s="38"/>
      <c r="N796" s="23"/>
      <c r="O796" s="23"/>
      <c r="P796" s="23"/>
      <c r="Q796" s="23"/>
      <c r="R796" s="23"/>
    </row>
    <row r="797" spans="1:18" s="148" customFormat="1" x14ac:dyDescent="0.3">
      <c r="A797" s="38"/>
      <c r="B797" s="38"/>
      <c r="C797" s="23"/>
      <c r="D797" s="23"/>
      <c r="E797" s="23"/>
      <c r="F797" s="101"/>
      <c r="G797" s="101"/>
      <c r="H797" s="101"/>
      <c r="I797" s="101"/>
      <c r="K797" s="228"/>
      <c r="L797" s="38"/>
      <c r="N797" s="23"/>
      <c r="O797" s="23"/>
      <c r="P797" s="23"/>
      <c r="Q797" s="23"/>
      <c r="R797" s="23"/>
    </row>
    <row r="798" spans="1:18" s="148" customFormat="1" x14ac:dyDescent="0.3">
      <c r="A798" s="38"/>
      <c r="B798" s="38"/>
      <c r="C798" s="23"/>
      <c r="D798" s="23"/>
      <c r="E798" s="23"/>
      <c r="F798" s="101"/>
      <c r="G798" s="101"/>
      <c r="H798" s="101"/>
      <c r="I798" s="101"/>
      <c r="K798" s="228"/>
      <c r="L798" s="38"/>
      <c r="N798" s="23"/>
      <c r="O798" s="23"/>
      <c r="P798" s="23"/>
      <c r="Q798" s="23"/>
      <c r="R798" s="23"/>
    </row>
    <row r="799" spans="1:18" s="148" customFormat="1" x14ac:dyDescent="0.3">
      <c r="A799" s="38"/>
      <c r="B799" s="38"/>
      <c r="C799" s="23"/>
      <c r="D799" s="23"/>
      <c r="E799" s="23"/>
      <c r="F799" s="101"/>
      <c r="G799" s="101"/>
      <c r="H799" s="101"/>
      <c r="I799" s="101"/>
      <c r="K799" s="228"/>
      <c r="L799" s="38"/>
      <c r="N799" s="23"/>
      <c r="O799" s="23"/>
      <c r="P799" s="23"/>
      <c r="Q799" s="23"/>
      <c r="R799" s="23"/>
    </row>
    <row r="800" spans="1:18" s="148" customFormat="1" x14ac:dyDescent="0.3">
      <c r="A800" s="38"/>
      <c r="B800" s="38"/>
      <c r="C800" s="23"/>
      <c r="D800" s="23"/>
      <c r="E800" s="23"/>
      <c r="F800" s="101"/>
      <c r="G800" s="101"/>
      <c r="H800" s="101"/>
      <c r="I800" s="101"/>
      <c r="K800" s="228"/>
      <c r="L800" s="38"/>
      <c r="N800" s="23"/>
      <c r="O800" s="23"/>
      <c r="P800" s="23"/>
      <c r="Q800" s="23"/>
      <c r="R800" s="23"/>
    </row>
    <row r="801" spans="1:18" s="148" customFormat="1" x14ac:dyDescent="0.3">
      <c r="A801" s="38"/>
      <c r="B801" s="38"/>
      <c r="C801" s="23"/>
      <c r="D801" s="23"/>
      <c r="E801" s="23"/>
      <c r="F801" s="101"/>
      <c r="G801" s="101"/>
      <c r="H801" s="101"/>
      <c r="I801" s="101"/>
      <c r="K801" s="228"/>
      <c r="L801" s="38"/>
      <c r="N801" s="23"/>
      <c r="O801" s="23"/>
      <c r="P801" s="23"/>
      <c r="Q801" s="23"/>
      <c r="R801" s="23"/>
    </row>
    <row r="802" spans="1:18" s="148" customFormat="1" x14ac:dyDescent="0.3">
      <c r="A802" s="38"/>
      <c r="B802" s="38"/>
      <c r="C802" s="23"/>
      <c r="D802" s="23"/>
      <c r="E802" s="23"/>
      <c r="F802" s="101"/>
      <c r="G802" s="101"/>
      <c r="H802" s="101"/>
      <c r="I802" s="101"/>
      <c r="K802" s="228"/>
      <c r="L802" s="38"/>
      <c r="N802" s="23"/>
      <c r="O802" s="23"/>
      <c r="P802" s="23"/>
      <c r="Q802" s="23"/>
      <c r="R802" s="23"/>
    </row>
    <row r="803" spans="1:18" s="148" customFormat="1" x14ac:dyDescent="0.3">
      <c r="A803" s="38"/>
      <c r="B803" s="38"/>
      <c r="C803" s="23"/>
      <c r="D803" s="23"/>
      <c r="E803" s="23"/>
      <c r="F803" s="101"/>
      <c r="G803" s="101"/>
      <c r="H803" s="101"/>
      <c r="I803" s="101"/>
      <c r="K803" s="228"/>
      <c r="L803" s="38"/>
      <c r="N803" s="23"/>
      <c r="O803" s="23"/>
      <c r="P803" s="23"/>
      <c r="Q803" s="23"/>
      <c r="R803" s="23"/>
    </row>
    <row r="804" spans="1:18" s="148" customFormat="1" x14ac:dyDescent="0.3">
      <c r="A804" s="38"/>
      <c r="B804" s="38"/>
      <c r="C804" s="23"/>
      <c r="D804" s="23"/>
      <c r="E804" s="23"/>
      <c r="F804" s="101"/>
      <c r="G804" s="101"/>
      <c r="H804" s="101"/>
      <c r="I804" s="101"/>
      <c r="K804" s="228"/>
      <c r="L804" s="38"/>
      <c r="N804" s="23"/>
      <c r="O804" s="23"/>
      <c r="P804" s="23"/>
      <c r="Q804" s="23"/>
      <c r="R804" s="23"/>
    </row>
    <row r="805" spans="1:18" s="148" customFormat="1" x14ac:dyDescent="0.3">
      <c r="A805" s="38"/>
      <c r="B805" s="38"/>
      <c r="C805" s="23"/>
      <c r="D805" s="23"/>
      <c r="E805" s="23"/>
      <c r="F805" s="101"/>
      <c r="G805" s="101"/>
      <c r="H805" s="101"/>
      <c r="I805" s="101"/>
      <c r="K805" s="228"/>
      <c r="L805" s="38"/>
      <c r="N805" s="23"/>
      <c r="O805" s="23"/>
      <c r="P805" s="23"/>
      <c r="Q805" s="23"/>
      <c r="R805" s="23"/>
    </row>
    <row r="806" spans="1:18" s="148" customFormat="1" x14ac:dyDescent="0.3">
      <c r="A806" s="38"/>
      <c r="B806" s="38"/>
      <c r="C806" s="23"/>
      <c r="D806" s="23"/>
      <c r="E806" s="23"/>
      <c r="F806" s="101"/>
      <c r="G806" s="101"/>
      <c r="H806" s="101"/>
      <c r="I806" s="101"/>
      <c r="K806" s="228"/>
      <c r="L806" s="38"/>
      <c r="N806" s="23"/>
      <c r="O806" s="23"/>
      <c r="P806" s="23"/>
      <c r="Q806" s="23"/>
      <c r="R806" s="23"/>
    </row>
    <row r="807" spans="1:18" s="148" customFormat="1" x14ac:dyDescent="0.3">
      <c r="A807" s="38"/>
      <c r="B807" s="38"/>
      <c r="C807" s="23"/>
      <c r="D807" s="23"/>
      <c r="E807" s="23"/>
      <c r="F807" s="101"/>
      <c r="G807" s="101"/>
      <c r="H807" s="101"/>
      <c r="I807" s="101"/>
      <c r="K807" s="228"/>
      <c r="L807" s="38"/>
      <c r="N807" s="23"/>
      <c r="O807" s="23"/>
      <c r="P807" s="23"/>
      <c r="Q807" s="23"/>
      <c r="R807" s="23"/>
    </row>
    <row r="808" spans="1:18" s="148" customFormat="1" x14ac:dyDescent="0.3">
      <c r="A808" s="38"/>
      <c r="B808" s="38"/>
      <c r="C808" s="23"/>
      <c r="D808" s="23"/>
      <c r="E808" s="23"/>
      <c r="F808" s="101"/>
      <c r="G808" s="101"/>
      <c r="H808" s="101"/>
      <c r="I808" s="101"/>
      <c r="K808" s="228"/>
      <c r="L808" s="38"/>
      <c r="N808" s="23"/>
      <c r="O808" s="23"/>
      <c r="P808" s="23"/>
      <c r="Q808" s="23"/>
      <c r="R808" s="23"/>
    </row>
    <row r="809" spans="1:18" s="148" customFormat="1" x14ac:dyDescent="0.3">
      <c r="A809" s="38"/>
      <c r="B809" s="38"/>
      <c r="C809" s="23"/>
      <c r="D809" s="23"/>
      <c r="E809" s="23"/>
      <c r="F809" s="101"/>
      <c r="G809" s="101"/>
      <c r="H809" s="101"/>
      <c r="I809" s="101"/>
      <c r="K809" s="228"/>
      <c r="L809" s="38"/>
      <c r="N809" s="23"/>
      <c r="O809" s="23"/>
      <c r="P809" s="23"/>
      <c r="Q809" s="23"/>
      <c r="R809" s="23"/>
    </row>
    <row r="810" spans="1:18" s="148" customFormat="1" x14ac:dyDescent="0.3">
      <c r="A810" s="38"/>
      <c r="B810" s="38"/>
      <c r="C810" s="23"/>
      <c r="D810" s="23"/>
      <c r="E810" s="23"/>
      <c r="F810" s="101"/>
      <c r="G810" s="101"/>
      <c r="H810" s="101"/>
      <c r="I810" s="101"/>
      <c r="K810" s="228"/>
      <c r="L810" s="38"/>
      <c r="N810" s="23"/>
      <c r="O810" s="23"/>
      <c r="P810" s="23"/>
      <c r="Q810" s="23"/>
      <c r="R810" s="23"/>
    </row>
    <row r="811" spans="1:18" s="148" customFormat="1" x14ac:dyDescent="0.3">
      <c r="A811" s="38"/>
      <c r="B811" s="38"/>
      <c r="C811" s="23"/>
      <c r="D811" s="23"/>
      <c r="E811" s="23"/>
      <c r="F811" s="101"/>
      <c r="G811" s="101"/>
      <c r="H811" s="101"/>
      <c r="I811" s="101"/>
      <c r="K811" s="228"/>
      <c r="L811" s="38"/>
      <c r="N811" s="23"/>
      <c r="O811" s="23"/>
      <c r="P811" s="23"/>
      <c r="Q811" s="23"/>
      <c r="R811" s="23"/>
    </row>
    <row r="812" spans="1:18" s="148" customFormat="1" x14ac:dyDescent="0.3">
      <c r="A812" s="38"/>
      <c r="B812" s="38"/>
      <c r="C812" s="23"/>
      <c r="D812" s="23"/>
      <c r="E812" s="23"/>
      <c r="F812" s="101"/>
      <c r="G812" s="101"/>
      <c r="H812" s="101"/>
      <c r="I812" s="101"/>
      <c r="K812" s="228"/>
      <c r="L812" s="38"/>
      <c r="N812" s="23"/>
      <c r="O812" s="23"/>
      <c r="P812" s="23"/>
      <c r="Q812" s="23"/>
      <c r="R812" s="23"/>
    </row>
    <row r="813" spans="1:18" s="148" customFormat="1" x14ac:dyDescent="0.3">
      <c r="A813" s="38"/>
      <c r="B813" s="38"/>
      <c r="C813" s="23"/>
      <c r="D813" s="23"/>
      <c r="E813" s="23"/>
      <c r="F813" s="101"/>
      <c r="G813" s="101"/>
      <c r="H813" s="101"/>
      <c r="I813" s="101"/>
      <c r="K813" s="228"/>
      <c r="L813" s="38"/>
      <c r="N813" s="23"/>
      <c r="O813" s="23"/>
      <c r="P813" s="23"/>
      <c r="Q813" s="23"/>
      <c r="R813" s="23"/>
    </row>
    <row r="814" spans="1:18" s="148" customFormat="1" x14ac:dyDescent="0.3">
      <c r="A814" s="38"/>
      <c r="B814" s="38"/>
      <c r="C814" s="23"/>
      <c r="D814" s="23"/>
      <c r="E814" s="23"/>
      <c r="F814" s="101"/>
      <c r="G814" s="101"/>
      <c r="H814" s="101"/>
      <c r="I814" s="101"/>
      <c r="K814" s="228"/>
      <c r="L814" s="38"/>
      <c r="N814" s="23"/>
      <c r="O814" s="23"/>
      <c r="P814" s="23"/>
      <c r="Q814" s="23"/>
      <c r="R814" s="23"/>
    </row>
    <row r="815" spans="1:18" s="148" customFormat="1" x14ac:dyDescent="0.3">
      <c r="A815" s="38"/>
      <c r="B815" s="38"/>
      <c r="C815" s="23"/>
      <c r="D815" s="23"/>
      <c r="E815" s="23"/>
      <c r="F815" s="101"/>
      <c r="G815" s="101"/>
      <c r="H815" s="101"/>
      <c r="I815" s="101"/>
      <c r="K815" s="228"/>
      <c r="L815" s="38"/>
      <c r="N815" s="23"/>
      <c r="O815" s="23"/>
      <c r="P815" s="23"/>
      <c r="Q815" s="23"/>
      <c r="R815" s="23"/>
    </row>
    <row r="816" spans="1:18" s="148" customFormat="1" x14ac:dyDescent="0.3">
      <c r="A816" s="38"/>
      <c r="B816" s="38"/>
      <c r="C816" s="23"/>
      <c r="D816" s="23"/>
      <c r="E816" s="23"/>
      <c r="F816" s="101"/>
      <c r="G816" s="101"/>
      <c r="H816" s="101"/>
      <c r="I816" s="101"/>
      <c r="K816" s="228"/>
      <c r="L816" s="38"/>
      <c r="N816" s="23"/>
      <c r="O816" s="23"/>
      <c r="P816" s="23"/>
      <c r="Q816" s="23"/>
      <c r="R816" s="23"/>
    </row>
    <row r="817" spans="1:18" s="148" customFormat="1" x14ac:dyDescent="0.3">
      <c r="A817" s="38"/>
      <c r="B817" s="38"/>
      <c r="C817" s="23"/>
      <c r="D817" s="23"/>
      <c r="E817" s="23"/>
      <c r="F817" s="101"/>
      <c r="G817" s="101"/>
      <c r="H817" s="101"/>
      <c r="I817" s="101"/>
      <c r="K817" s="228"/>
      <c r="L817" s="38"/>
      <c r="N817" s="23"/>
      <c r="O817" s="23"/>
      <c r="P817" s="23"/>
      <c r="Q817" s="23"/>
      <c r="R817" s="23"/>
    </row>
    <row r="818" spans="1:18" s="148" customFormat="1" x14ac:dyDescent="0.3">
      <c r="A818" s="38"/>
      <c r="B818" s="38"/>
      <c r="C818" s="23"/>
      <c r="D818" s="23"/>
      <c r="E818" s="23"/>
      <c r="F818" s="101"/>
      <c r="G818" s="101"/>
      <c r="H818" s="101"/>
      <c r="I818" s="101"/>
      <c r="K818" s="228"/>
      <c r="L818" s="38"/>
      <c r="N818" s="23"/>
      <c r="O818" s="23"/>
      <c r="P818" s="23"/>
      <c r="Q818" s="23"/>
      <c r="R818" s="23"/>
    </row>
    <row r="819" spans="1:18" s="148" customFormat="1" x14ac:dyDescent="0.3">
      <c r="A819" s="38"/>
      <c r="B819" s="38"/>
      <c r="C819" s="23"/>
      <c r="D819" s="23"/>
      <c r="E819" s="23"/>
      <c r="F819" s="101"/>
      <c r="G819" s="101"/>
      <c r="H819" s="101"/>
      <c r="I819" s="101"/>
      <c r="K819" s="228"/>
      <c r="L819" s="38"/>
      <c r="N819" s="23"/>
      <c r="O819" s="23"/>
      <c r="P819" s="23"/>
      <c r="Q819" s="23"/>
      <c r="R819" s="23"/>
    </row>
    <row r="820" spans="1:18" s="148" customFormat="1" x14ac:dyDescent="0.3">
      <c r="A820" s="38"/>
      <c r="B820" s="38"/>
      <c r="C820" s="23"/>
      <c r="D820" s="23"/>
      <c r="E820" s="23"/>
      <c r="F820" s="101"/>
      <c r="G820" s="101"/>
      <c r="H820" s="101"/>
      <c r="I820" s="101"/>
      <c r="K820" s="228"/>
      <c r="L820" s="38"/>
      <c r="N820" s="23"/>
      <c r="O820" s="23"/>
      <c r="P820" s="23"/>
      <c r="Q820" s="23"/>
      <c r="R820" s="23"/>
    </row>
    <row r="821" spans="1:18" s="148" customFormat="1" x14ac:dyDescent="0.3">
      <c r="A821" s="38"/>
      <c r="B821" s="38"/>
      <c r="C821" s="23"/>
      <c r="D821" s="23"/>
      <c r="E821" s="23"/>
      <c r="F821" s="101"/>
      <c r="G821" s="101"/>
      <c r="H821" s="101"/>
      <c r="I821" s="101"/>
      <c r="K821" s="228"/>
      <c r="L821" s="38"/>
      <c r="N821" s="23"/>
      <c r="O821" s="23"/>
      <c r="P821" s="23"/>
      <c r="Q821" s="23"/>
      <c r="R821" s="23"/>
    </row>
    <row r="822" spans="1:18" s="148" customFormat="1" x14ac:dyDescent="0.3">
      <c r="A822" s="38"/>
      <c r="B822" s="38"/>
      <c r="C822" s="23"/>
      <c r="D822" s="23"/>
      <c r="E822" s="23"/>
      <c r="F822" s="101"/>
      <c r="G822" s="101"/>
      <c r="H822" s="101"/>
      <c r="I822" s="101"/>
      <c r="K822" s="228"/>
      <c r="L822" s="38"/>
      <c r="N822" s="23"/>
      <c r="O822" s="23"/>
      <c r="P822" s="23"/>
      <c r="Q822" s="23"/>
      <c r="R822" s="23"/>
    </row>
    <row r="823" spans="1:18" s="148" customFormat="1" x14ac:dyDescent="0.3">
      <c r="A823" s="38"/>
      <c r="B823" s="38"/>
      <c r="C823" s="23"/>
      <c r="D823" s="23"/>
      <c r="E823" s="23"/>
      <c r="F823" s="101"/>
      <c r="G823" s="101"/>
      <c r="H823" s="101"/>
      <c r="I823" s="101"/>
      <c r="K823" s="228"/>
      <c r="L823" s="38"/>
      <c r="N823" s="23"/>
      <c r="O823" s="23"/>
      <c r="P823" s="23"/>
      <c r="Q823" s="23"/>
      <c r="R823" s="23"/>
    </row>
    <row r="824" spans="1:18" s="148" customFormat="1" x14ac:dyDescent="0.3">
      <c r="A824" s="38"/>
      <c r="B824" s="38"/>
      <c r="C824" s="23"/>
      <c r="D824" s="23"/>
      <c r="E824" s="23"/>
      <c r="F824" s="101"/>
      <c r="G824" s="101"/>
      <c r="H824" s="101"/>
      <c r="I824" s="101"/>
      <c r="K824" s="228"/>
      <c r="L824" s="38"/>
      <c r="N824" s="23"/>
      <c r="O824" s="23"/>
      <c r="P824" s="23"/>
      <c r="Q824" s="23"/>
      <c r="R824" s="23"/>
    </row>
    <row r="825" spans="1:18" s="148" customFormat="1" x14ac:dyDescent="0.3">
      <c r="A825" s="38"/>
      <c r="B825" s="38"/>
      <c r="C825" s="23"/>
      <c r="D825" s="23"/>
      <c r="E825" s="23"/>
      <c r="F825" s="101"/>
      <c r="G825" s="101"/>
      <c r="H825" s="101"/>
      <c r="I825" s="101"/>
      <c r="K825" s="228"/>
      <c r="L825" s="38"/>
      <c r="N825" s="23"/>
      <c r="O825" s="23"/>
      <c r="P825" s="23"/>
      <c r="Q825" s="23"/>
      <c r="R825" s="23"/>
    </row>
    <row r="826" spans="1:18" s="148" customFormat="1" x14ac:dyDescent="0.3">
      <c r="A826" s="38"/>
      <c r="B826" s="38"/>
      <c r="C826" s="23"/>
      <c r="D826" s="23"/>
      <c r="E826" s="23"/>
      <c r="F826" s="101"/>
      <c r="G826" s="101"/>
      <c r="H826" s="101"/>
      <c r="I826" s="101"/>
      <c r="K826" s="228"/>
      <c r="L826" s="38"/>
      <c r="N826" s="23"/>
      <c r="O826" s="23"/>
      <c r="P826" s="23"/>
      <c r="Q826" s="23"/>
      <c r="R826" s="23"/>
    </row>
    <row r="827" spans="1:18" s="148" customFormat="1" x14ac:dyDescent="0.3">
      <c r="A827" s="38"/>
      <c r="B827" s="38"/>
      <c r="C827" s="23"/>
      <c r="D827" s="23"/>
      <c r="E827" s="23"/>
      <c r="F827" s="101"/>
      <c r="G827" s="101"/>
      <c r="H827" s="101"/>
      <c r="I827" s="101"/>
      <c r="K827" s="228"/>
      <c r="L827" s="38"/>
      <c r="N827" s="23"/>
      <c r="O827" s="23"/>
      <c r="P827" s="23"/>
      <c r="Q827" s="23"/>
      <c r="R827" s="23"/>
    </row>
    <row r="828" spans="1:18" s="148" customFormat="1" x14ac:dyDescent="0.3">
      <c r="A828" s="38"/>
      <c r="B828" s="38"/>
      <c r="C828" s="23"/>
      <c r="D828" s="23"/>
      <c r="E828" s="23"/>
      <c r="F828" s="101"/>
      <c r="G828" s="101"/>
      <c r="H828" s="101"/>
      <c r="I828" s="101"/>
      <c r="K828" s="228"/>
      <c r="L828" s="38"/>
      <c r="N828" s="23"/>
      <c r="O828" s="23"/>
      <c r="P828" s="23"/>
      <c r="Q828" s="23"/>
      <c r="R828" s="23"/>
    </row>
    <row r="829" spans="1:18" s="148" customFormat="1" x14ac:dyDescent="0.3">
      <c r="A829" s="38"/>
      <c r="B829" s="38"/>
      <c r="C829" s="23"/>
      <c r="D829" s="23"/>
      <c r="E829" s="23"/>
      <c r="F829" s="101"/>
      <c r="G829" s="101"/>
      <c r="H829" s="101"/>
      <c r="I829" s="101"/>
      <c r="K829" s="228"/>
      <c r="L829" s="38"/>
      <c r="N829" s="23"/>
      <c r="O829" s="23"/>
      <c r="P829" s="23"/>
      <c r="Q829" s="23"/>
      <c r="R829" s="23"/>
    </row>
    <row r="830" spans="1:18" s="148" customFormat="1" x14ac:dyDescent="0.3">
      <c r="A830" s="38"/>
      <c r="B830" s="38"/>
      <c r="C830" s="23"/>
      <c r="D830" s="23"/>
      <c r="E830" s="23"/>
      <c r="F830" s="101"/>
      <c r="G830" s="101"/>
      <c r="H830" s="101"/>
      <c r="I830" s="101"/>
      <c r="K830" s="228"/>
      <c r="L830" s="38"/>
      <c r="N830" s="23"/>
      <c r="O830" s="23"/>
      <c r="P830" s="23"/>
      <c r="Q830" s="23"/>
      <c r="R830" s="23"/>
    </row>
    <row r="831" spans="1:18" s="148" customFormat="1" x14ac:dyDescent="0.3">
      <c r="A831" s="38"/>
      <c r="B831" s="38"/>
      <c r="C831" s="23"/>
      <c r="D831" s="23"/>
      <c r="E831" s="23"/>
      <c r="F831" s="101"/>
      <c r="G831" s="101"/>
      <c r="H831" s="101"/>
      <c r="I831" s="101"/>
      <c r="K831" s="228"/>
      <c r="L831" s="38"/>
      <c r="N831" s="23"/>
      <c r="O831" s="23"/>
      <c r="P831" s="23"/>
      <c r="Q831" s="23"/>
      <c r="R831" s="23"/>
    </row>
    <row r="832" spans="1:18" s="148" customFormat="1" x14ac:dyDescent="0.3">
      <c r="A832" s="38"/>
      <c r="B832" s="38"/>
      <c r="C832" s="23"/>
      <c r="D832" s="23"/>
      <c r="E832" s="23"/>
      <c r="F832" s="101"/>
      <c r="G832" s="101"/>
      <c r="H832" s="101"/>
      <c r="I832" s="101"/>
      <c r="K832" s="228"/>
      <c r="L832" s="38"/>
      <c r="N832" s="23"/>
      <c r="O832" s="23"/>
      <c r="P832" s="23"/>
      <c r="Q832" s="23"/>
      <c r="R832" s="23"/>
    </row>
    <row r="833" spans="1:18" s="148" customFormat="1" x14ac:dyDescent="0.3">
      <c r="A833" s="38"/>
      <c r="B833" s="38"/>
      <c r="C833" s="23"/>
      <c r="D833" s="23"/>
      <c r="E833" s="23"/>
      <c r="F833" s="101"/>
      <c r="G833" s="101"/>
      <c r="H833" s="101"/>
      <c r="I833" s="101"/>
      <c r="K833" s="228"/>
      <c r="L833" s="38"/>
      <c r="N833" s="23"/>
      <c r="O833" s="23"/>
      <c r="P833" s="23"/>
      <c r="Q833" s="23"/>
      <c r="R833" s="23"/>
    </row>
    <row r="834" spans="1:18" s="148" customFormat="1" x14ac:dyDescent="0.3">
      <c r="A834" s="38"/>
      <c r="B834" s="38"/>
      <c r="C834" s="23"/>
      <c r="D834" s="23"/>
      <c r="E834" s="23"/>
      <c r="F834" s="101"/>
      <c r="G834" s="101"/>
      <c r="H834" s="101"/>
      <c r="I834" s="101"/>
      <c r="K834" s="228"/>
      <c r="L834" s="38"/>
      <c r="N834" s="23"/>
      <c r="O834" s="23"/>
      <c r="P834" s="23"/>
      <c r="Q834" s="23"/>
      <c r="R834" s="23"/>
    </row>
    <row r="835" spans="1:18" s="148" customFormat="1" x14ac:dyDescent="0.3">
      <c r="A835" s="38"/>
      <c r="B835" s="38"/>
      <c r="C835" s="23"/>
      <c r="D835" s="23"/>
      <c r="E835" s="23"/>
      <c r="F835" s="101"/>
      <c r="G835" s="101"/>
      <c r="H835" s="101"/>
      <c r="I835" s="101"/>
      <c r="K835" s="228"/>
      <c r="L835" s="38"/>
      <c r="N835" s="23"/>
      <c r="O835" s="23"/>
      <c r="P835" s="23"/>
      <c r="Q835" s="23"/>
      <c r="R835" s="23"/>
    </row>
    <row r="836" spans="1:18" s="148" customFormat="1" x14ac:dyDescent="0.3">
      <c r="A836" s="38"/>
      <c r="B836" s="38"/>
      <c r="C836" s="23"/>
      <c r="D836" s="23"/>
      <c r="E836" s="23"/>
      <c r="F836" s="101"/>
      <c r="G836" s="101"/>
      <c r="H836" s="101"/>
      <c r="I836" s="101"/>
      <c r="K836" s="228"/>
      <c r="L836" s="38"/>
      <c r="N836" s="23"/>
      <c r="O836" s="23"/>
      <c r="P836" s="23"/>
      <c r="Q836" s="23"/>
      <c r="R836" s="23"/>
    </row>
    <row r="837" spans="1:18" s="148" customFormat="1" x14ac:dyDescent="0.3">
      <c r="A837" s="38"/>
      <c r="B837" s="38"/>
      <c r="C837" s="23"/>
      <c r="D837" s="23"/>
      <c r="E837" s="23"/>
      <c r="F837" s="101"/>
      <c r="G837" s="101"/>
      <c r="H837" s="101"/>
      <c r="I837" s="101"/>
      <c r="K837" s="228"/>
      <c r="L837" s="38"/>
      <c r="N837" s="23"/>
      <c r="O837" s="23"/>
      <c r="P837" s="23"/>
      <c r="Q837" s="23"/>
      <c r="R837" s="23"/>
    </row>
    <row r="838" spans="1:18" s="148" customFormat="1" x14ac:dyDescent="0.3">
      <c r="A838" s="38"/>
      <c r="B838" s="38"/>
      <c r="C838" s="23"/>
      <c r="D838" s="23"/>
      <c r="E838" s="23"/>
      <c r="F838" s="101"/>
      <c r="G838" s="101"/>
      <c r="H838" s="101"/>
      <c r="I838" s="101"/>
      <c r="K838" s="228"/>
      <c r="L838" s="38"/>
      <c r="N838" s="23"/>
      <c r="O838" s="23"/>
      <c r="P838" s="23"/>
      <c r="Q838" s="23"/>
      <c r="R838" s="23"/>
    </row>
    <row r="839" spans="1:18" s="148" customFormat="1" x14ac:dyDescent="0.3">
      <c r="A839" s="38"/>
      <c r="B839" s="38"/>
      <c r="C839" s="23"/>
      <c r="D839" s="23"/>
      <c r="E839" s="23"/>
      <c r="F839" s="101"/>
      <c r="G839" s="101"/>
      <c r="H839" s="101"/>
      <c r="I839" s="101"/>
      <c r="K839" s="228"/>
      <c r="L839" s="38"/>
      <c r="N839" s="23"/>
      <c r="O839" s="23"/>
      <c r="P839" s="23"/>
      <c r="Q839" s="23"/>
      <c r="R839" s="23"/>
    </row>
    <row r="840" spans="1:18" s="148" customFormat="1" x14ac:dyDescent="0.3">
      <c r="A840" s="38"/>
      <c r="B840" s="38"/>
      <c r="C840" s="23"/>
      <c r="D840" s="23"/>
      <c r="E840" s="23"/>
      <c r="F840" s="101"/>
      <c r="G840" s="101"/>
      <c r="H840" s="101"/>
      <c r="I840" s="101"/>
      <c r="K840" s="228"/>
      <c r="L840" s="38"/>
      <c r="N840" s="23"/>
      <c r="O840" s="23"/>
      <c r="P840" s="23"/>
      <c r="Q840" s="23"/>
      <c r="R840" s="23"/>
    </row>
    <row r="841" spans="1:18" s="148" customFormat="1" x14ac:dyDescent="0.3">
      <c r="A841" s="38"/>
      <c r="B841" s="38"/>
      <c r="C841" s="23"/>
      <c r="D841" s="23"/>
      <c r="E841" s="23"/>
      <c r="F841" s="101"/>
      <c r="G841" s="101"/>
      <c r="H841" s="101"/>
      <c r="I841" s="101"/>
      <c r="K841" s="228"/>
      <c r="L841" s="38"/>
      <c r="N841" s="23"/>
      <c r="O841" s="23"/>
      <c r="P841" s="23"/>
      <c r="Q841" s="23"/>
      <c r="R841" s="23"/>
    </row>
    <row r="842" spans="1:18" s="148" customFormat="1" x14ac:dyDescent="0.3">
      <c r="A842" s="38"/>
      <c r="B842" s="38"/>
      <c r="C842" s="23"/>
      <c r="D842" s="23"/>
      <c r="E842" s="23"/>
      <c r="F842" s="101"/>
      <c r="G842" s="101"/>
      <c r="H842" s="101"/>
      <c r="I842" s="101"/>
      <c r="K842" s="228"/>
      <c r="L842" s="38"/>
      <c r="N842" s="23"/>
      <c r="O842" s="23"/>
      <c r="P842" s="23"/>
      <c r="Q842" s="23"/>
      <c r="R842" s="23"/>
    </row>
    <row r="843" spans="1:18" s="148" customFormat="1" x14ac:dyDescent="0.3">
      <c r="A843" s="38"/>
      <c r="B843" s="38"/>
      <c r="C843" s="23"/>
      <c r="D843" s="23"/>
      <c r="E843" s="23"/>
      <c r="F843" s="101"/>
      <c r="G843" s="101"/>
      <c r="H843" s="101"/>
      <c r="I843" s="101"/>
      <c r="K843" s="228"/>
      <c r="L843" s="38"/>
      <c r="N843" s="23"/>
      <c r="O843" s="23"/>
      <c r="P843" s="23"/>
      <c r="Q843" s="23"/>
      <c r="R843" s="23"/>
    </row>
    <row r="844" spans="1:18" s="148" customFormat="1" x14ac:dyDescent="0.3">
      <c r="A844" s="38"/>
      <c r="B844" s="38"/>
      <c r="C844" s="23"/>
      <c r="D844" s="23"/>
      <c r="E844" s="23"/>
      <c r="F844" s="101"/>
      <c r="G844" s="101"/>
      <c r="H844" s="101"/>
      <c r="I844" s="101"/>
      <c r="K844" s="228"/>
      <c r="L844" s="38"/>
      <c r="N844" s="23"/>
      <c r="O844" s="23"/>
      <c r="P844" s="23"/>
      <c r="Q844" s="23"/>
      <c r="R844" s="23"/>
    </row>
    <row r="845" spans="1:18" s="148" customFormat="1" x14ac:dyDescent="0.3">
      <c r="A845" s="38"/>
      <c r="B845" s="38"/>
      <c r="C845" s="23"/>
      <c r="D845" s="23"/>
      <c r="E845" s="23"/>
      <c r="F845" s="101"/>
      <c r="G845" s="101"/>
      <c r="H845" s="101"/>
      <c r="I845" s="101"/>
      <c r="K845" s="228"/>
      <c r="L845" s="38"/>
      <c r="N845" s="23"/>
      <c r="O845" s="23"/>
      <c r="P845" s="23"/>
      <c r="Q845" s="23"/>
      <c r="R845" s="23"/>
    </row>
    <row r="846" spans="1:18" s="148" customFormat="1" x14ac:dyDescent="0.3">
      <c r="A846" s="38"/>
      <c r="B846" s="38"/>
      <c r="C846" s="23"/>
      <c r="D846" s="23"/>
      <c r="E846" s="23"/>
      <c r="F846" s="101"/>
      <c r="G846" s="101"/>
      <c r="H846" s="101"/>
      <c r="I846" s="101"/>
      <c r="K846" s="228"/>
      <c r="L846" s="38"/>
      <c r="N846" s="23"/>
      <c r="O846" s="23"/>
      <c r="P846" s="23"/>
      <c r="Q846" s="23"/>
      <c r="R846" s="23"/>
    </row>
    <row r="847" spans="1:18" s="148" customFormat="1" x14ac:dyDescent="0.3">
      <c r="A847" s="38"/>
      <c r="B847" s="38"/>
      <c r="C847" s="23"/>
      <c r="D847" s="23"/>
      <c r="E847" s="23"/>
      <c r="F847" s="101"/>
      <c r="G847" s="101"/>
      <c r="H847" s="101"/>
      <c r="I847" s="101"/>
      <c r="K847" s="228"/>
      <c r="L847" s="38"/>
      <c r="N847" s="23"/>
      <c r="O847" s="23"/>
      <c r="P847" s="23"/>
      <c r="Q847" s="23"/>
      <c r="R847" s="23"/>
    </row>
    <row r="848" spans="1:18" s="148" customFormat="1" x14ac:dyDescent="0.3">
      <c r="A848" s="38"/>
      <c r="B848" s="38"/>
      <c r="C848" s="23"/>
      <c r="D848" s="23"/>
      <c r="E848" s="23"/>
      <c r="F848" s="101"/>
      <c r="G848" s="101"/>
      <c r="H848" s="101"/>
      <c r="I848" s="101"/>
      <c r="K848" s="228"/>
      <c r="L848" s="38"/>
      <c r="N848" s="23"/>
      <c r="O848" s="23"/>
      <c r="P848" s="23"/>
      <c r="Q848" s="23"/>
      <c r="R848" s="23"/>
    </row>
    <row r="849" spans="1:18" s="148" customFormat="1" x14ac:dyDescent="0.3">
      <c r="A849" s="38"/>
      <c r="B849" s="38"/>
      <c r="C849" s="23"/>
      <c r="D849" s="23"/>
      <c r="E849" s="23"/>
      <c r="F849" s="101"/>
      <c r="G849" s="101"/>
      <c r="H849" s="101"/>
      <c r="I849" s="101"/>
      <c r="K849" s="228"/>
      <c r="L849" s="38"/>
      <c r="N849" s="23"/>
      <c r="O849" s="23"/>
      <c r="P849" s="23"/>
      <c r="Q849" s="23"/>
      <c r="R849" s="23"/>
    </row>
    <row r="850" spans="1:18" s="148" customFormat="1" x14ac:dyDescent="0.3">
      <c r="A850" s="38"/>
      <c r="B850" s="38"/>
      <c r="C850" s="23"/>
      <c r="D850" s="23"/>
      <c r="E850" s="23"/>
      <c r="F850" s="101"/>
      <c r="G850" s="101"/>
      <c r="H850" s="101"/>
      <c r="I850" s="101"/>
      <c r="K850" s="228"/>
      <c r="L850" s="38"/>
      <c r="N850" s="23"/>
      <c r="O850" s="23"/>
      <c r="P850" s="23"/>
      <c r="Q850" s="23"/>
      <c r="R850" s="23"/>
    </row>
    <row r="851" spans="1:18" s="148" customFormat="1" x14ac:dyDescent="0.3">
      <c r="A851" s="38"/>
      <c r="B851" s="38"/>
      <c r="C851" s="23"/>
      <c r="D851" s="23"/>
      <c r="E851" s="23"/>
      <c r="F851" s="101"/>
      <c r="G851" s="101"/>
      <c r="H851" s="101"/>
      <c r="I851" s="101"/>
      <c r="K851" s="228"/>
      <c r="L851" s="38"/>
      <c r="N851" s="23"/>
      <c r="O851" s="23"/>
      <c r="P851" s="23"/>
      <c r="Q851" s="23"/>
      <c r="R851" s="23"/>
    </row>
    <row r="852" spans="1:18" s="148" customFormat="1" x14ac:dyDescent="0.3">
      <c r="A852" s="38"/>
      <c r="B852" s="38"/>
      <c r="C852" s="23"/>
      <c r="D852" s="23"/>
      <c r="E852" s="23"/>
      <c r="F852" s="101"/>
      <c r="G852" s="101"/>
      <c r="H852" s="101"/>
      <c r="I852" s="101"/>
      <c r="K852" s="228"/>
      <c r="L852" s="38"/>
      <c r="N852" s="23"/>
      <c r="O852" s="23"/>
      <c r="P852" s="23"/>
      <c r="Q852" s="23"/>
      <c r="R852" s="23"/>
    </row>
    <row r="853" spans="1:18" s="148" customFormat="1" x14ac:dyDescent="0.3">
      <c r="A853" s="38"/>
      <c r="B853" s="38"/>
      <c r="C853" s="23"/>
      <c r="D853" s="23"/>
      <c r="E853" s="23"/>
      <c r="F853" s="101"/>
      <c r="G853" s="101"/>
      <c r="H853" s="101"/>
      <c r="I853" s="101"/>
      <c r="K853" s="228"/>
      <c r="L853" s="38"/>
      <c r="N853" s="23"/>
      <c r="O853" s="23"/>
      <c r="P853" s="23"/>
      <c r="Q853" s="23"/>
      <c r="R853" s="23"/>
    </row>
    <row r="854" spans="1:18" s="148" customFormat="1" x14ac:dyDescent="0.3">
      <c r="A854" s="38"/>
      <c r="B854" s="38"/>
      <c r="C854" s="23"/>
      <c r="D854" s="23"/>
      <c r="E854" s="23"/>
      <c r="F854" s="101"/>
      <c r="G854" s="101"/>
      <c r="H854" s="101"/>
      <c r="I854" s="101"/>
      <c r="K854" s="228"/>
      <c r="L854" s="38"/>
      <c r="N854" s="23"/>
      <c r="O854" s="23"/>
      <c r="P854" s="23"/>
      <c r="Q854" s="23"/>
      <c r="R854" s="23"/>
    </row>
    <row r="855" spans="1:18" s="148" customFormat="1" x14ac:dyDescent="0.3">
      <c r="A855" s="38"/>
      <c r="B855" s="38"/>
      <c r="C855" s="23"/>
      <c r="D855" s="23"/>
      <c r="E855" s="23"/>
      <c r="F855" s="101"/>
      <c r="G855" s="101"/>
      <c r="H855" s="101"/>
      <c r="I855" s="101"/>
      <c r="K855" s="228"/>
      <c r="L855" s="38"/>
      <c r="N855" s="23"/>
      <c r="O855" s="23"/>
      <c r="P855" s="23"/>
      <c r="Q855" s="23"/>
      <c r="R855" s="23"/>
    </row>
    <row r="856" spans="1:18" s="148" customFormat="1" x14ac:dyDescent="0.3">
      <c r="A856" s="38"/>
      <c r="B856" s="38"/>
      <c r="C856" s="23"/>
      <c r="D856" s="23"/>
      <c r="E856" s="23"/>
      <c r="F856" s="101"/>
      <c r="G856" s="101"/>
      <c r="H856" s="101"/>
      <c r="I856" s="101"/>
      <c r="K856" s="228"/>
      <c r="L856" s="38"/>
      <c r="N856" s="23"/>
      <c r="O856" s="23"/>
      <c r="P856" s="23"/>
      <c r="Q856" s="23"/>
      <c r="R856" s="23"/>
    </row>
    <row r="857" spans="1:18" s="148" customFormat="1" x14ac:dyDescent="0.3">
      <c r="A857" s="38"/>
      <c r="B857" s="38"/>
      <c r="C857" s="23"/>
      <c r="D857" s="23"/>
      <c r="E857" s="23"/>
      <c r="F857" s="101"/>
      <c r="G857" s="101"/>
      <c r="H857" s="101"/>
      <c r="I857" s="101"/>
      <c r="K857" s="228"/>
      <c r="L857" s="38"/>
      <c r="N857" s="23"/>
      <c r="O857" s="23"/>
      <c r="P857" s="23"/>
      <c r="Q857" s="23"/>
      <c r="R857" s="23"/>
    </row>
    <row r="858" spans="1:18" s="148" customFormat="1" x14ac:dyDescent="0.3">
      <c r="A858" s="38"/>
      <c r="B858" s="38"/>
      <c r="C858" s="23"/>
      <c r="D858" s="23"/>
      <c r="E858" s="23"/>
      <c r="F858" s="101"/>
      <c r="G858" s="101"/>
      <c r="H858" s="101"/>
      <c r="I858" s="101"/>
      <c r="K858" s="228"/>
      <c r="L858" s="38"/>
      <c r="N858" s="23"/>
      <c r="O858" s="23"/>
      <c r="P858" s="23"/>
      <c r="Q858" s="23"/>
      <c r="R858" s="23"/>
    </row>
    <row r="859" spans="1:18" s="148" customFormat="1" x14ac:dyDescent="0.3">
      <c r="A859" s="38"/>
      <c r="B859" s="38"/>
      <c r="C859" s="23"/>
      <c r="D859" s="23"/>
      <c r="E859" s="23"/>
      <c r="F859" s="101"/>
      <c r="G859" s="101"/>
      <c r="H859" s="101"/>
      <c r="I859" s="101"/>
      <c r="K859" s="228"/>
      <c r="L859" s="38"/>
      <c r="N859" s="23"/>
      <c r="O859" s="23"/>
      <c r="P859" s="23"/>
      <c r="Q859" s="23"/>
      <c r="R859" s="23"/>
    </row>
    <row r="860" spans="1:18" s="148" customFormat="1" x14ac:dyDescent="0.3">
      <c r="A860" s="38"/>
      <c r="B860" s="38"/>
      <c r="C860" s="23"/>
      <c r="D860" s="23"/>
      <c r="E860" s="23"/>
      <c r="F860" s="101"/>
      <c r="G860" s="101"/>
      <c r="H860" s="101"/>
      <c r="I860" s="101"/>
      <c r="K860" s="228"/>
      <c r="L860" s="38"/>
      <c r="N860" s="23"/>
      <c r="O860" s="23"/>
      <c r="P860" s="23"/>
      <c r="Q860" s="23"/>
      <c r="R860" s="23"/>
    </row>
    <row r="861" spans="1:18" s="148" customFormat="1" x14ac:dyDescent="0.3">
      <c r="A861" s="38"/>
      <c r="B861" s="38"/>
      <c r="C861" s="23"/>
      <c r="D861" s="23"/>
      <c r="E861" s="23"/>
      <c r="F861" s="101"/>
      <c r="G861" s="101"/>
      <c r="H861" s="101"/>
      <c r="I861" s="101"/>
      <c r="K861" s="228"/>
      <c r="L861" s="38"/>
      <c r="N861" s="23"/>
      <c r="O861" s="23"/>
      <c r="P861" s="23"/>
      <c r="Q861" s="23"/>
      <c r="R861" s="23"/>
    </row>
    <row r="862" spans="1:18" s="148" customFormat="1" x14ac:dyDescent="0.3">
      <c r="A862" s="38"/>
      <c r="B862" s="38"/>
      <c r="C862" s="23"/>
      <c r="D862" s="23"/>
      <c r="E862" s="23"/>
      <c r="F862" s="101"/>
      <c r="G862" s="101"/>
      <c r="H862" s="101"/>
      <c r="I862" s="101"/>
      <c r="K862" s="228"/>
      <c r="L862" s="38"/>
      <c r="N862" s="23"/>
      <c r="O862" s="23"/>
      <c r="P862" s="23"/>
      <c r="Q862" s="23"/>
      <c r="R862" s="23"/>
    </row>
    <row r="863" spans="1:18" s="148" customFormat="1" x14ac:dyDescent="0.3">
      <c r="A863" s="38"/>
      <c r="B863" s="38"/>
      <c r="C863" s="23"/>
      <c r="D863" s="23"/>
      <c r="E863" s="23"/>
      <c r="F863" s="101"/>
      <c r="G863" s="101"/>
      <c r="H863" s="101"/>
      <c r="I863" s="101"/>
      <c r="K863" s="228"/>
      <c r="L863" s="38"/>
      <c r="N863" s="23"/>
      <c r="O863" s="23"/>
      <c r="P863" s="23"/>
      <c r="Q863" s="23"/>
      <c r="R863" s="23"/>
    </row>
    <row r="864" spans="1:18" s="148" customFormat="1" x14ac:dyDescent="0.3">
      <c r="A864" s="38"/>
      <c r="B864" s="38"/>
      <c r="C864" s="23"/>
      <c r="D864" s="23"/>
      <c r="E864" s="23"/>
      <c r="F864" s="101"/>
      <c r="G864" s="101"/>
      <c r="H864" s="101"/>
      <c r="I864" s="101"/>
      <c r="K864" s="228"/>
      <c r="L864" s="38"/>
      <c r="N864" s="23"/>
      <c r="O864" s="23"/>
      <c r="P864" s="23"/>
      <c r="Q864" s="23"/>
      <c r="R864" s="23"/>
    </row>
    <row r="865" spans="1:18" s="148" customFormat="1" x14ac:dyDescent="0.3">
      <c r="A865" s="38"/>
      <c r="B865" s="38"/>
      <c r="C865" s="23"/>
      <c r="D865" s="23"/>
      <c r="E865" s="23"/>
      <c r="F865" s="101"/>
      <c r="G865" s="101"/>
      <c r="H865" s="101"/>
      <c r="I865" s="101"/>
      <c r="K865" s="228"/>
      <c r="L865" s="38"/>
      <c r="N865" s="23"/>
      <c r="O865" s="23"/>
      <c r="P865" s="23"/>
      <c r="Q865" s="23"/>
      <c r="R865" s="23"/>
    </row>
    <row r="866" spans="1:18" s="148" customFormat="1" x14ac:dyDescent="0.3">
      <c r="A866" s="38"/>
      <c r="B866" s="38"/>
      <c r="C866" s="23"/>
      <c r="D866" s="23"/>
      <c r="E866" s="23"/>
      <c r="F866" s="101"/>
      <c r="G866" s="101"/>
      <c r="H866" s="101"/>
      <c r="I866" s="101"/>
      <c r="K866" s="228"/>
      <c r="L866" s="38"/>
      <c r="N866" s="23"/>
      <c r="O866" s="23"/>
      <c r="P866" s="23"/>
      <c r="Q866" s="23"/>
      <c r="R866" s="23"/>
    </row>
    <row r="867" spans="1:18" s="148" customFormat="1" x14ac:dyDescent="0.3">
      <c r="A867" s="38"/>
      <c r="B867" s="38"/>
      <c r="C867" s="23"/>
      <c r="D867" s="23"/>
      <c r="E867" s="23"/>
      <c r="F867" s="101"/>
      <c r="G867" s="101"/>
      <c r="H867" s="101"/>
      <c r="I867" s="101"/>
      <c r="K867" s="228"/>
      <c r="L867" s="38"/>
      <c r="N867" s="23"/>
      <c r="O867" s="23"/>
      <c r="P867" s="23"/>
      <c r="Q867" s="23"/>
      <c r="R867" s="23"/>
    </row>
    <row r="868" spans="1:18" s="148" customFormat="1" x14ac:dyDescent="0.3">
      <c r="A868" s="38"/>
      <c r="B868" s="38"/>
      <c r="C868" s="23"/>
      <c r="D868" s="23"/>
      <c r="E868" s="23"/>
      <c r="F868" s="101"/>
      <c r="G868" s="101"/>
      <c r="H868" s="101"/>
      <c r="I868" s="101"/>
      <c r="K868" s="228"/>
      <c r="L868" s="38"/>
      <c r="N868" s="23"/>
      <c r="O868" s="23"/>
      <c r="P868" s="23"/>
      <c r="Q868" s="23"/>
      <c r="R868" s="23"/>
    </row>
    <row r="869" spans="1:18" s="148" customFormat="1" x14ac:dyDescent="0.3">
      <c r="A869" s="38"/>
      <c r="B869" s="38"/>
      <c r="C869" s="23"/>
      <c r="D869" s="23"/>
      <c r="E869" s="23"/>
      <c r="F869" s="101"/>
      <c r="G869" s="101"/>
      <c r="H869" s="101"/>
      <c r="I869" s="101"/>
      <c r="K869" s="228"/>
      <c r="L869" s="38"/>
      <c r="N869" s="23"/>
      <c r="O869" s="23"/>
      <c r="P869" s="23"/>
      <c r="Q869" s="23"/>
      <c r="R869" s="23"/>
    </row>
    <row r="870" spans="1:18" s="148" customFormat="1" x14ac:dyDescent="0.3">
      <c r="A870" s="38"/>
      <c r="B870" s="38"/>
      <c r="C870" s="23"/>
      <c r="D870" s="23"/>
      <c r="E870" s="23"/>
      <c r="F870" s="101"/>
      <c r="G870" s="101"/>
      <c r="H870" s="101"/>
      <c r="I870" s="101"/>
      <c r="K870" s="228"/>
      <c r="L870" s="38"/>
      <c r="N870" s="23"/>
      <c r="O870" s="23"/>
      <c r="P870" s="23"/>
      <c r="Q870" s="23"/>
      <c r="R870" s="23"/>
    </row>
    <row r="871" spans="1:18" s="148" customFormat="1" x14ac:dyDescent="0.3">
      <c r="A871" s="38"/>
      <c r="B871" s="38"/>
      <c r="C871" s="23"/>
      <c r="D871" s="23"/>
      <c r="E871" s="23"/>
      <c r="F871" s="101"/>
      <c r="G871" s="101"/>
      <c r="H871" s="101"/>
      <c r="I871" s="101"/>
      <c r="K871" s="228"/>
      <c r="L871" s="38"/>
      <c r="N871" s="23"/>
      <c r="O871" s="23"/>
      <c r="P871" s="23"/>
      <c r="Q871" s="23"/>
      <c r="R871" s="23"/>
    </row>
    <row r="872" spans="1:18" s="148" customFormat="1" x14ac:dyDescent="0.3">
      <c r="A872" s="38"/>
      <c r="B872" s="38"/>
      <c r="C872" s="23"/>
      <c r="D872" s="23"/>
      <c r="E872" s="23"/>
      <c r="F872" s="101"/>
      <c r="G872" s="101"/>
      <c r="H872" s="101"/>
      <c r="I872" s="101"/>
      <c r="K872" s="228"/>
      <c r="L872" s="38"/>
      <c r="N872" s="23"/>
      <c r="O872" s="23"/>
      <c r="P872" s="23"/>
      <c r="Q872" s="23"/>
      <c r="R872" s="23"/>
    </row>
    <row r="873" spans="1:18" s="148" customFormat="1" x14ac:dyDescent="0.3">
      <c r="A873" s="38"/>
      <c r="B873" s="38"/>
      <c r="C873" s="23"/>
      <c r="D873" s="23"/>
      <c r="E873" s="23"/>
      <c r="F873" s="101"/>
      <c r="G873" s="101"/>
      <c r="H873" s="101"/>
      <c r="I873" s="101"/>
      <c r="K873" s="228"/>
      <c r="L873" s="38"/>
      <c r="N873" s="23"/>
      <c r="O873" s="23"/>
      <c r="P873" s="23"/>
      <c r="Q873" s="23"/>
      <c r="R873" s="23"/>
    </row>
    <row r="874" spans="1:18" s="148" customFormat="1" x14ac:dyDescent="0.3">
      <c r="A874" s="38"/>
      <c r="B874" s="38"/>
      <c r="C874" s="23"/>
      <c r="D874" s="23"/>
      <c r="E874" s="23"/>
      <c r="F874" s="101"/>
      <c r="G874" s="101"/>
      <c r="H874" s="101"/>
      <c r="I874" s="101"/>
      <c r="K874" s="228"/>
      <c r="L874" s="38"/>
      <c r="N874" s="23"/>
      <c r="O874" s="23"/>
      <c r="P874" s="23"/>
      <c r="Q874" s="23"/>
      <c r="R874" s="23"/>
    </row>
    <row r="875" spans="1:18" s="148" customFormat="1" x14ac:dyDescent="0.3">
      <c r="A875" s="38"/>
      <c r="B875" s="38"/>
      <c r="C875" s="23"/>
      <c r="D875" s="23"/>
      <c r="E875" s="23"/>
      <c r="F875" s="101"/>
      <c r="G875" s="101"/>
      <c r="H875" s="101"/>
      <c r="I875" s="101"/>
      <c r="K875" s="228"/>
      <c r="L875" s="38"/>
      <c r="N875" s="23"/>
      <c r="O875" s="23"/>
      <c r="P875" s="23"/>
      <c r="Q875" s="23"/>
      <c r="R875" s="23"/>
    </row>
    <row r="876" spans="1:18" s="148" customFormat="1" x14ac:dyDescent="0.3">
      <c r="A876" s="38"/>
      <c r="B876" s="38"/>
      <c r="C876" s="23"/>
      <c r="D876" s="23"/>
      <c r="E876" s="23"/>
      <c r="F876" s="101"/>
      <c r="G876" s="101"/>
      <c r="H876" s="101"/>
      <c r="I876" s="101"/>
      <c r="K876" s="228"/>
      <c r="L876" s="38"/>
      <c r="N876" s="23"/>
      <c r="O876" s="23"/>
      <c r="P876" s="23"/>
      <c r="Q876" s="23"/>
      <c r="R876" s="23"/>
    </row>
    <row r="877" spans="1:18" s="148" customFormat="1" x14ac:dyDescent="0.3">
      <c r="A877" s="38"/>
      <c r="B877" s="38"/>
      <c r="C877" s="23"/>
      <c r="D877" s="23"/>
      <c r="E877" s="23"/>
      <c r="F877" s="101"/>
      <c r="G877" s="101"/>
      <c r="H877" s="101"/>
      <c r="I877" s="101"/>
      <c r="K877" s="228"/>
      <c r="L877" s="38"/>
      <c r="N877" s="23"/>
      <c r="O877" s="23"/>
      <c r="P877" s="23"/>
      <c r="Q877" s="23"/>
      <c r="R877" s="23"/>
    </row>
    <row r="878" spans="1:18" s="148" customFormat="1" x14ac:dyDescent="0.3">
      <c r="A878" s="38"/>
      <c r="B878" s="38"/>
      <c r="C878" s="23"/>
      <c r="D878" s="23"/>
      <c r="E878" s="23"/>
      <c r="F878" s="101"/>
      <c r="G878" s="101"/>
      <c r="H878" s="101"/>
      <c r="I878" s="101"/>
      <c r="K878" s="228"/>
      <c r="L878" s="38"/>
      <c r="N878" s="23"/>
      <c r="O878" s="23"/>
      <c r="P878" s="23"/>
      <c r="Q878" s="23"/>
      <c r="R878" s="23"/>
    </row>
    <row r="879" spans="1:18" s="148" customFormat="1" x14ac:dyDescent="0.3">
      <c r="A879" s="38"/>
      <c r="B879" s="38"/>
      <c r="C879" s="23"/>
      <c r="D879" s="23"/>
      <c r="E879" s="23"/>
      <c r="F879" s="101"/>
      <c r="G879" s="101"/>
      <c r="H879" s="101"/>
      <c r="I879" s="101"/>
      <c r="K879" s="228"/>
      <c r="L879" s="38"/>
      <c r="N879" s="23"/>
      <c r="O879" s="23"/>
      <c r="P879" s="23"/>
      <c r="Q879" s="23"/>
      <c r="R879" s="23"/>
    </row>
    <row r="880" spans="1:18" s="148" customFormat="1" x14ac:dyDescent="0.3">
      <c r="A880" s="38"/>
      <c r="B880" s="38"/>
      <c r="C880" s="23"/>
      <c r="D880" s="23"/>
      <c r="E880" s="23"/>
      <c r="F880" s="101"/>
      <c r="G880" s="101"/>
      <c r="H880" s="101"/>
      <c r="I880" s="101"/>
      <c r="K880" s="228"/>
      <c r="L880" s="38"/>
      <c r="N880" s="23"/>
      <c r="O880" s="23"/>
      <c r="P880" s="23"/>
      <c r="Q880" s="23"/>
      <c r="R880" s="23"/>
    </row>
    <row r="881" spans="1:18" s="148" customFormat="1" x14ac:dyDescent="0.3">
      <c r="A881" s="38"/>
      <c r="B881" s="38"/>
      <c r="C881" s="23"/>
      <c r="D881" s="23"/>
      <c r="E881" s="23"/>
      <c r="F881" s="101"/>
      <c r="G881" s="101"/>
      <c r="H881" s="101"/>
      <c r="I881" s="101"/>
      <c r="K881" s="228"/>
      <c r="L881" s="38"/>
      <c r="N881" s="23"/>
      <c r="O881" s="23"/>
      <c r="P881" s="23"/>
      <c r="Q881" s="23"/>
      <c r="R881" s="23"/>
    </row>
    <row r="882" spans="1:18" s="148" customFormat="1" x14ac:dyDescent="0.3">
      <c r="A882" s="38"/>
      <c r="B882" s="38"/>
      <c r="C882" s="23"/>
      <c r="D882" s="23"/>
      <c r="E882" s="23"/>
      <c r="F882" s="101"/>
      <c r="G882" s="101"/>
      <c r="H882" s="101"/>
      <c r="I882" s="101"/>
      <c r="K882" s="228"/>
      <c r="L882" s="38"/>
      <c r="N882" s="23"/>
      <c r="O882" s="23"/>
      <c r="P882" s="23"/>
      <c r="Q882" s="23"/>
      <c r="R882" s="23"/>
    </row>
    <row r="883" spans="1:18" s="148" customFormat="1" x14ac:dyDescent="0.3">
      <c r="A883" s="38"/>
      <c r="B883" s="38"/>
      <c r="C883" s="23"/>
      <c r="D883" s="23"/>
      <c r="E883" s="23"/>
      <c r="F883" s="101"/>
      <c r="G883" s="101"/>
      <c r="H883" s="101"/>
      <c r="I883" s="101"/>
      <c r="K883" s="228"/>
      <c r="L883" s="38"/>
      <c r="N883" s="23"/>
      <c r="O883" s="23"/>
      <c r="P883" s="23"/>
      <c r="Q883" s="23"/>
      <c r="R883" s="23"/>
    </row>
    <row r="884" spans="1:18" s="148" customFormat="1" x14ac:dyDescent="0.3">
      <c r="A884" s="38"/>
      <c r="B884" s="38"/>
      <c r="C884" s="23"/>
      <c r="D884" s="23"/>
      <c r="E884" s="23"/>
      <c r="F884" s="101"/>
      <c r="G884" s="101"/>
      <c r="H884" s="101"/>
      <c r="I884" s="101"/>
      <c r="K884" s="228"/>
      <c r="L884" s="38"/>
      <c r="N884" s="23"/>
      <c r="O884" s="23"/>
      <c r="P884" s="23"/>
      <c r="Q884" s="23"/>
      <c r="R884" s="23"/>
    </row>
    <row r="885" spans="1:18" s="148" customFormat="1" x14ac:dyDescent="0.3">
      <c r="A885" s="38"/>
      <c r="B885" s="38"/>
      <c r="C885" s="23"/>
      <c r="D885" s="23"/>
      <c r="E885" s="23"/>
      <c r="F885" s="101"/>
      <c r="G885" s="101"/>
      <c r="H885" s="101"/>
      <c r="I885" s="101"/>
      <c r="K885" s="228"/>
      <c r="L885" s="38"/>
      <c r="N885" s="23"/>
      <c r="O885" s="23"/>
      <c r="P885" s="23"/>
      <c r="Q885" s="23"/>
      <c r="R885" s="23"/>
    </row>
    <row r="886" spans="1:18" s="148" customFormat="1" x14ac:dyDescent="0.3">
      <c r="A886" s="38"/>
      <c r="B886" s="38"/>
      <c r="C886" s="23"/>
      <c r="D886" s="23"/>
      <c r="E886" s="23"/>
      <c r="F886" s="101"/>
      <c r="G886" s="101"/>
      <c r="H886" s="101"/>
      <c r="I886" s="101"/>
      <c r="K886" s="228"/>
      <c r="L886" s="38"/>
      <c r="N886" s="23"/>
      <c r="O886" s="23"/>
      <c r="P886" s="23"/>
      <c r="Q886" s="23"/>
      <c r="R886" s="23"/>
    </row>
    <row r="887" spans="1:18" s="148" customFormat="1" x14ac:dyDescent="0.3">
      <c r="A887" s="38"/>
      <c r="B887" s="38"/>
      <c r="C887" s="23"/>
      <c r="D887" s="23"/>
      <c r="E887" s="23"/>
      <c r="F887" s="101"/>
      <c r="G887" s="101"/>
      <c r="H887" s="101"/>
      <c r="I887" s="101"/>
      <c r="K887" s="228"/>
      <c r="L887" s="38"/>
      <c r="N887" s="23"/>
      <c r="O887" s="23"/>
      <c r="P887" s="23"/>
      <c r="Q887" s="23"/>
      <c r="R887" s="23"/>
    </row>
    <row r="888" spans="1:18" s="148" customFormat="1" x14ac:dyDescent="0.3">
      <c r="A888" s="38"/>
      <c r="B888" s="38"/>
      <c r="C888" s="23"/>
      <c r="D888" s="23"/>
      <c r="E888" s="23"/>
      <c r="F888" s="101"/>
      <c r="G888" s="101"/>
      <c r="H888" s="101"/>
      <c r="I888" s="101"/>
      <c r="K888" s="228"/>
      <c r="L888" s="38"/>
      <c r="N888" s="23"/>
      <c r="O888" s="23"/>
      <c r="P888" s="23"/>
      <c r="Q888" s="23"/>
      <c r="R888" s="23"/>
    </row>
    <row r="889" spans="1:18" s="148" customFormat="1" x14ac:dyDescent="0.3">
      <c r="A889" s="38"/>
      <c r="B889" s="38"/>
      <c r="C889" s="23"/>
      <c r="D889" s="23"/>
      <c r="E889" s="23"/>
      <c r="F889" s="101"/>
      <c r="G889" s="101"/>
      <c r="H889" s="101"/>
      <c r="I889" s="101"/>
      <c r="K889" s="228"/>
      <c r="L889" s="38"/>
      <c r="N889" s="23"/>
      <c r="O889" s="23"/>
      <c r="P889" s="23"/>
      <c r="Q889" s="23"/>
      <c r="R889" s="23"/>
    </row>
    <row r="890" spans="1:18" s="148" customFormat="1" x14ac:dyDescent="0.3">
      <c r="A890" s="38"/>
      <c r="B890" s="38"/>
      <c r="C890" s="23"/>
      <c r="D890" s="23"/>
      <c r="E890" s="23"/>
      <c r="F890" s="101"/>
      <c r="G890" s="101"/>
      <c r="H890" s="101"/>
      <c r="I890" s="101"/>
      <c r="K890" s="228"/>
      <c r="L890" s="38"/>
      <c r="N890" s="23"/>
      <c r="O890" s="23"/>
      <c r="P890" s="23"/>
      <c r="Q890" s="23"/>
      <c r="R890" s="23"/>
    </row>
    <row r="891" spans="1:18" s="148" customFormat="1" x14ac:dyDescent="0.3">
      <c r="A891" s="38"/>
      <c r="B891" s="38"/>
      <c r="C891" s="23"/>
      <c r="D891" s="23"/>
      <c r="E891" s="23"/>
      <c r="F891" s="101"/>
      <c r="G891" s="101"/>
      <c r="H891" s="101"/>
      <c r="I891" s="101"/>
      <c r="K891" s="228"/>
      <c r="L891" s="38"/>
      <c r="N891" s="23"/>
      <c r="O891" s="23"/>
      <c r="P891" s="23"/>
      <c r="Q891" s="23"/>
      <c r="R891" s="23"/>
    </row>
    <row r="892" spans="1:18" s="148" customFormat="1" x14ac:dyDescent="0.3">
      <c r="A892" s="38"/>
      <c r="B892" s="38"/>
      <c r="C892" s="23"/>
      <c r="D892" s="23"/>
      <c r="E892" s="23"/>
      <c r="F892" s="101"/>
      <c r="G892" s="101"/>
      <c r="H892" s="101"/>
      <c r="I892" s="101"/>
      <c r="K892" s="228"/>
      <c r="L892" s="38"/>
      <c r="N892" s="23"/>
      <c r="O892" s="23"/>
      <c r="P892" s="23"/>
      <c r="Q892" s="23"/>
      <c r="R892" s="23"/>
    </row>
    <row r="893" spans="1:18" s="148" customFormat="1" x14ac:dyDescent="0.3">
      <c r="A893" s="38"/>
      <c r="B893" s="38"/>
      <c r="C893" s="23"/>
      <c r="D893" s="23"/>
      <c r="E893" s="23"/>
      <c r="F893" s="101"/>
      <c r="G893" s="101"/>
      <c r="H893" s="101"/>
      <c r="I893" s="101"/>
      <c r="K893" s="228"/>
      <c r="L893" s="38"/>
      <c r="N893" s="23"/>
      <c r="O893" s="23"/>
      <c r="P893" s="23"/>
      <c r="Q893" s="23"/>
      <c r="R893" s="23"/>
    </row>
    <row r="894" spans="1:18" s="148" customFormat="1" x14ac:dyDescent="0.3">
      <c r="A894" s="38"/>
      <c r="B894" s="38"/>
      <c r="C894" s="23"/>
      <c r="D894" s="23"/>
      <c r="E894" s="23"/>
      <c r="F894" s="101"/>
      <c r="G894" s="101"/>
      <c r="H894" s="101"/>
      <c r="I894" s="101"/>
      <c r="K894" s="228"/>
      <c r="L894" s="38"/>
      <c r="N894" s="23"/>
      <c r="O894" s="23"/>
      <c r="P894" s="23"/>
      <c r="Q894" s="23"/>
      <c r="R894" s="23"/>
    </row>
    <row r="895" spans="1:18" s="148" customFormat="1" x14ac:dyDescent="0.3">
      <c r="A895" s="38"/>
      <c r="B895" s="38"/>
      <c r="C895" s="23"/>
      <c r="D895" s="23"/>
      <c r="E895" s="23"/>
      <c r="F895" s="101"/>
      <c r="G895" s="101"/>
      <c r="H895" s="101"/>
      <c r="I895" s="101"/>
      <c r="K895" s="228"/>
      <c r="L895" s="38"/>
      <c r="N895" s="23"/>
      <c r="O895" s="23"/>
      <c r="P895" s="23"/>
      <c r="Q895" s="23"/>
      <c r="R895" s="23"/>
    </row>
    <row r="896" spans="1:18" s="148" customFormat="1" x14ac:dyDescent="0.3">
      <c r="A896" s="38"/>
      <c r="B896" s="38"/>
      <c r="C896" s="23"/>
      <c r="D896" s="23"/>
      <c r="E896" s="23"/>
      <c r="F896" s="101"/>
      <c r="G896" s="101"/>
      <c r="H896" s="101"/>
      <c r="I896" s="101"/>
      <c r="K896" s="228"/>
      <c r="L896" s="38"/>
      <c r="N896" s="23"/>
      <c r="O896" s="23"/>
      <c r="P896" s="23"/>
      <c r="Q896" s="23"/>
      <c r="R896" s="23"/>
    </row>
    <row r="897" spans="1:18" s="148" customFormat="1" x14ac:dyDescent="0.3">
      <c r="A897" s="38"/>
      <c r="B897" s="38"/>
      <c r="C897" s="23"/>
      <c r="D897" s="23"/>
      <c r="E897" s="23"/>
      <c r="F897" s="101"/>
      <c r="G897" s="101"/>
      <c r="H897" s="101"/>
      <c r="I897" s="101"/>
      <c r="K897" s="228"/>
      <c r="L897" s="38"/>
      <c r="N897" s="23"/>
      <c r="O897" s="23"/>
      <c r="P897" s="23"/>
      <c r="Q897" s="23"/>
      <c r="R897" s="23"/>
    </row>
    <row r="898" spans="1:18" s="148" customFormat="1" x14ac:dyDescent="0.3">
      <c r="A898" s="38"/>
      <c r="B898" s="38"/>
      <c r="C898" s="23"/>
      <c r="D898" s="23"/>
      <c r="E898" s="23"/>
      <c r="F898" s="101"/>
      <c r="G898" s="101"/>
      <c r="H898" s="101"/>
      <c r="I898" s="101"/>
      <c r="K898" s="228"/>
      <c r="L898" s="38"/>
      <c r="N898" s="23"/>
      <c r="O898" s="23"/>
      <c r="P898" s="23"/>
      <c r="Q898" s="23"/>
      <c r="R898" s="23"/>
    </row>
    <row r="899" spans="1:18" s="148" customFormat="1" x14ac:dyDescent="0.3">
      <c r="A899" s="38"/>
      <c r="B899" s="38"/>
      <c r="C899" s="23"/>
      <c r="D899" s="23"/>
      <c r="E899" s="23"/>
      <c r="F899" s="101"/>
      <c r="G899" s="101"/>
      <c r="H899" s="101"/>
      <c r="I899" s="101"/>
      <c r="K899" s="228"/>
      <c r="L899" s="38"/>
      <c r="N899" s="23"/>
      <c r="O899" s="23"/>
      <c r="P899" s="23"/>
      <c r="Q899" s="23"/>
      <c r="R899" s="23"/>
    </row>
    <row r="900" spans="1:18" s="148" customFormat="1" x14ac:dyDescent="0.3">
      <c r="A900" s="38"/>
      <c r="B900" s="38"/>
      <c r="C900" s="23"/>
      <c r="D900" s="23"/>
      <c r="E900" s="23"/>
      <c r="F900" s="101"/>
      <c r="G900" s="101"/>
      <c r="H900" s="101"/>
      <c r="I900" s="101"/>
      <c r="K900" s="228"/>
      <c r="L900" s="38"/>
      <c r="N900" s="23"/>
      <c r="O900" s="23"/>
      <c r="P900" s="23"/>
      <c r="Q900" s="23"/>
      <c r="R900" s="23"/>
    </row>
    <row r="901" spans="1:18" s="148" customFormat="1" x14ac:dyDescent="0.3">
      <c r="A901" s="38"/>
      <c r="B901" s="38"/>
      <c r="C901" s="23"/>
      <c r="D901" s="23"/>
      <c r="E901" s="23"/>
      <c r="F901" s="101"/>
      <c r="G901" s="101"/>
      <c r="H901" s="101"/>
      <c r="I901" s="101"/>
      <c r="K901" s="228"/>
      <c r="L901" s="38"/>
      <c r="N901" s="23"/>
      <c r="O901" s="23"/>
      <c r="P901" s="23"/>
      <c r="Q901" s="23"/>
      <c r="R901" s="23"/>
    </row>
    <row r="902" spans="1:18" s="148" customFormat="1" x14ac:dyDescent="0.3">
      <c r="A902" s="38"/>
      <c r="B902" s="38"/>
      <c r="C902" s="23"/>
      <c r="D902" s="23"/>
      <c r="E902" s="23"/>
      <c r="F902" s="101"/>
      <c r="G902" s="101"/>
      <c r="H902" s="101"/>
      <c r="I902" s="101"/>
      <c r="K902" s="228"/>
      <c r="L902" s="38"/>
      <c r="N902" s="23"/>
      <c r="O902" s="23"/>
      <c r="P902" s="23"/>
      <c r="Q902" s="23"/>
      <c r="R902" s="23"/>
    </row>
    <row r="903" spans="1:18" s="148" customFormat="1" x14ac:dyDescent="0.3">
      <c r="A903" s="38"/>
      <c r="B903" s="38"/>
      <c r="C903" s="23"/>
      <c r="D903" s="23"/>
      <c r="E903" s="23"/>
      <c r="F903" s="101"/>
      <c r="G903" s="101"/>
      <c r="H903" s="101"/>
      <c r="I903" s="101"/>
      <c r="K903" s="228"/>
      <c r="L903" s="38"/>
      <c r="N903" s="23"/>
      <c r="O903" s="23"/>
      <c r="P903" s="23"/>
      <c r="Q903" s="23"/>
      <c r="R903" s="23"/>
    </row>
    <row r="904" spans="1:18" s="148" customFormat="1" x14ac:dyDescent="0.3">
      <c r="A904" s="38"/>
      <c r="B904" s="38"/>
      <c r="C904" s="23"/>
      <c r="D904" s="23"/>
      <c r="E904" s="23"/>
      <c r="F904" s="101"/>
      <c r="G904" s="101"/>
      <c r="H904" s="101"/>
      <c r="I904" s="101"/>
      <c r="K904" s="228"/>
      <c r="L904" s="38"/>
      <c r="N904" s="23"/>
      <c r="O904" s="23"/>
      <c r="P904" s="23"/>
      <c r="Q904" s="23"/>
      <c r="R904" s="23"/>
    </row>
    <row r="905" spans="1:18" s="148" customFormat="1" x14ac:dyDescent="0.3">
      <c r="A905" s="38"/>
      <c r="B905" s="38"/>
      <c r="C905" s="23"/>
      <c r="D905" s="23"/>
      <c r="E905" s="23"/>
      <c r="F905" s="101"/>
      <c r="G905" s="101"/>
      <c r="H905" s="101"/>
      <c r="I905" s="101"/>
      <c r="K905" s="228"/>
      <c r="L905" s="38"/>
      <c r="N905" s="23"/>
      <c r="O905" s="23"/>
      <c r="P905" s="23"/>
      <c r="Q905" s="23"/>
      <c r="R905" s="23"/>
    </row>
  </sheetData>
  <autoFilter ref="B2:M435" xr:uid="{CFD127B8-67AB-4D7F-884D-83F7A4BBD8CA}">
    <filterColumn colId="4" showButton="0"/>
    <filterColumn colId="5" showButton="0"/>
    <filterColumn colId="6" showButton="0"/>
  </autoFilter>
  <mergeCells count="333">
    <mergeCell ref="A432:E432"/>
    <mergeCell ref="A338:E338"/>
    <mergeCell ref="A339:E339"/>
    <mergeCell ref="A386:E386"/>
    <mergeCell ref="A387:E387"/>
    <mergeCell ref="A388:E388"/>
    <mergeCell ref="A397:E397"/>
    <mergeCell ref="A283:E283"/>
    <mergeCell ref="A299:E299"/>
    <mergeCell ref="A300:E300"/>
    <mergeCell ref="A306:E306"/>
    <mergeCell ref="A307:E307"/>
    <mergeCell ref="A430:E430"/>
    <mergeCell ref="A431:E431"/>
    <mergeCell ref="A384:E384"/>
    <mergeCell ref="A385:E385"/>
    <mergeCell ref="A390:A391"/>
    <mergeCell ref="B390:B391"/>
    <mergeCell ref="C390:C391"/>
    <mergeCell ref="D390:D391"/>
    <mergeCell ref="A381:A382"/>
    <mergeCell ref="B381:B382"/>
    <mergeCell ref="C381:C382"/>
    <mergeCell ref="D381:D382"/>
    <mergeCell ref="A178:E178"/>
    <mergeCell ref="A179:E179"/>
    <mergeCell ref="A180:E180"/>
    <mergeCell ref="A194:E194"/>
    <mergeCell ref="A195:E195"/>
    <mergeCell ref="A247:A256"/>
    <mergeCell ref="B247:B256"/>
    <mergeCell ref="D247:D256"/>
    <mergeCell ref="A257:A258"/>
    <mergeCell ref="B257:B258"/>
    <mergeCell ref="D257:D258"/>
    <mergeCell ref="A236:A238"/>
    <mergeCell ref="B236:B238"/>
    <mergeCell ref="D236:D238"/>
    <mergeCell ref="A239:A241"/>
    <mergeCell ref="B239:B241"/>
    <mergeCell ref="A242:A243"/>
    <mergeCell ref="B242:B243"/>
    <mergeCell ref="D242:D243"/>
    <mergeCell ref="A224:A226"/>
    <mergeCell ref="B224:B226"/>
    <mergeCell ref="D224:D226"/>
    <mergeCell ref="A228:A233"/>
    <mergeCell ref="B228:B233"/>
    <mergeCell ref="A400:E400"/>
    <mergeCell ref="A96:E96"/>
    <mergeCell ref="A95:E95"/>
    <mergeCell ref="A116:E116"/>
    <mergeCell ref="A117:E117"/>
    <mergeCell ref="A118:E118"/>
    <mergeCell ref="A119:E119"/>
    <mergeCell ref="A71:E71"/>
    <mergeCell ref="A72:E72"/>
    <mergeCell ref="A73:E73"/>
    <mergeCell ref="A74:E74"/>
    <mergeCell ref="A76:E76"/>
    <mergeCell ref="A75:E75"/>
    <mergeCell ref="A113:E113"/>
    <mergeCell ref="A114:E114"/>
    <mergeCell ref="A115:E115"/>
    <mergeCell ref="A89:E89"/>
    <mergeCell ref="A90:E90"/>
    <mergeCell ref="A91:E91"/>
    <mergeCell ref="A92:E92"/>
    <mergeCell ref="A93:E93"/>
    <mergeCell ref="A94:E94"/>
    <mergeCell ref="A220:E220"/>
    <mergeCell ref="A262:E262"/>
    <mergeCell ref="A383:E383"/>
    <mergeCell ref="M370:M371"/>
    <mergeCell ref="A372:A373"/>
    <mergeCell ref="B372:B373"/>
    <mergeCell ref="C372:C373"/>
    <mergeCell ref="M372:M373"/>
    <mergeCell ref="D375:D380"/>
    <mergeCell ref="M375:M380"/>
    <mergeCell ref="A436:E436"/>
    <mergeCell ref="M416:M419"/>
    <mergeCell ref="A420:A427"/>
    <mergeCell ref="B420:B427"/>
    <mergeCell ref="C420:C427"/>
    <mergeCell ref="M420:M427"/>
    <mergeCell ref="A429:E429"/>
    <mergeCell ref="K390:K392"/>
    <mergeCell ref="L390:L392"/>
    <mergeCell ref="A394:E394"/>
    <mergeCell ref="A395:E395"/>
    <mergeCell ref="A396:E396"/>
    <mergeCell ref="D416:D419"/>
    <mergeCell ref="A398:E398"/>
    <mergeCell ref="A399:E399"/>
    <mergeCell ref="A401:E401"/>
    <mergeCell ref="A370:A371"/>
    <mergeCell ref="B370:B371"/>
    <mergeCell ref="C370:C371"/>
    <mergeCell ref="D370:D374"/>
    <mergeCell ref="K357:K358"/>
    <mergeCell ref="L357:L358"/>
    <mergeCell ref="M381:M382"/>
    <mergeCell ref="M357:M358"/>
    <mergeCell ref="A363:A364"/>
    <mergeCell ref="B363:B364"/>
    <mergeCell ref="C363:C364"/>
    <mergeCell ref="K363:K364"/>
    <mergeCell ref="L363:L364"/>
    <mergeCell ref="K351:K353"/>
    <mergeCell ref="L351:L353"/>
    <mergeCell ref="A354:A355"/>
    <mergeCell ref="B354:B355"/>
    <mergeCell ref="C354:C355"/>
    <mergeCell ref="K354:K355"/>
    <mergeCell ref="L354:L355"/>
    <mergeCell ref="A348:A350"/>
    <mergeCell ref="B348:B350"/>
    <mergeCell ref="C348:C350"/>
    <mergeCell ref="D348:D350"/>
    <mergeCell ref="A351:A353"/>
    <mergeCell ref="B351:B353"/>
    <mergeCell ref="C351:C353"/>
    <mergeCell ref="D351:D369"/>
    <mergeCell ref="C357:C358"/>
    <mergeCell ref="A365:A366"/>
    <mergeCell ref="B365:B366"/>
    <mergeCell ref="C365:C366"/>
    <mergeCell ref="K365:K366"/>
    <mergeCell ref="L365:L366"/>
    <mergeCell ref="A343:A344"/>
    <mergeCell ref="B343:B344"/>
    <mergeCell ref="C343:C344"/>
    <mergeCell ref="D343:D344"/>
    <mergeCell ref="M343:M344"/>
    <mergeCell ref="A346:A347"/>
    <mergeCell ref="B346:B347"/>
    <mergeCell ref="C346:C347"/>
    <mergeCell ref="D346:D347"/>
    <mergeCell ref="M346:M347"/>
    <mergeCell ref="A333:E333"/>
    <mergeCell ref="A340:A342"/>
    <mergeCell ref="B340:B342"/>
    <mergeCell ref="C340:C342"/>
    <mergeCell ref="D340:D342"/>
    <mergeCell ref="M340:M342"/>
    <mergeCell ref="A334:E334"/>
    <mergeCell ref="A335:E335"/>
    <mergeCell ref="A336:E336"/>
    <mergeCell ref="A337:E337"/>
    <mergeCell ref="M322:M323"/>
    <mergeCell ref="A325:E325"/>
    <mergeCell ref="A326:E326"/>
    <mergeCell ref="A327:E327"/>
    <mergeCell ref="A331:E331"/>
    <mergeCell ref="A332:E332"/>
    <mergeCell ref="A328:E328"/>
    <mergeCell ref="J312:J313"/>
    <mergeCell ref="K312:K313"/>
    <mergeCell ref="L312:L313"/>
    <mergeCell ref="M312:M313"/>
    <mergeCell ref="A322:A323"/>
    <mergeCell ref="B322:B323"/>
    <mergeCell ref="C322:C323"/>
    <mergeCell ref="D322:D323"/>
    <mergeCell ref="K322:K323"/>
    <mergeCell ref="L322:L323"/>
    <mergeCell ref="A303:E303"/>
    <mergeCell ref="A304:E304"/>
    <mergeCell ref="A305:E305"/>
    <mergeCell ref="A312:A313"/>
    <mergeCell ref="B312:B313"/>
    <mergeCell ref="C312:C313"/>
    <mergeCell ref="D312:D313"/>
    <mergeCell ref="A308:E308"/>
    <mergeCell ref="A309:E309"/>
    <mergeCell ref="A310:E310"/>
    <mergeCell ref="A276:E276"/>
    <mergeCell ref="A277:E277"/>
    <mergeCell ref="A278:E278"/>
    <mergeCell ref="A296:E296"/>
    <mergeCell ref="A297:E297"/>
    <mergeCell ref="A298:E298"/>
    <mergeCell ref="A279:E279"/>
    <mergeCell ref="A280:E280"/>
    <mergeCell ref="A281:E281"/>
    <mergeCell ref="A282:E282"/>
    <mergeCell ref="J266:J267"/>
    <mergeCell ref="M266:M267"/>
    <mergeCell ref="A268:A269"/>
    <mergeCell ref="B268:B269"/>
    <mergeCell ref="C268:C269"/>
    <mergeCell ref="D268:D269"/>
    <mergeCell ref="J268:J269"/>
    <mergeCell ref="M268:M269"/>
    <mergeCell ref="A259:E259"/>
    <mergeCell ref="A260:E260"/>
    <mergeCell ref="A261:E261"/>
    <mergeCell ref="A266:A267"/>
    <mergeCell ref="B266:B267"/>
    <mergeCell ref="C266:C267"/>
    <mergeCell ref="D266:D267"/>
    <mergeCell ref="A263:E263"/>
    <mergeCell ref="A264:E264"/>
    <mergeCell ref="A265:E265"/>
    <mergeCell ref="D228:D233"/>
    <mergeCell ref="A213:E213"/>
    <mergeCell ref="A214:E214"/>
    <mergeCell ref="A215:E215"/>
    <mergeCell ref="A221:A223"/>
    <mergeCell ref="B221:B223"/>
    <mergeCell ref="D221:D223"/>
    <mergeCell ref="A216:E216"/>
    <mergeCell ref="A217:E217"/>
    <mergeCell ref="A218:E218"/>
    <mergeCell ref="A219:E219"/>
    <mergeCell ref="K206:K207"/>
    <mergeCell ref="L206:L207"/>
    <mergeCell ref="D208:D209"/>
    <mergeCell ref="K208:K209"/>
    <mergeCell ref="L208:L209"/>
    <mergeCell ref="D210:D211"/>
    <mergeCell ref="K210:K211"/>
    <mergeCell ref="L210:L211"/>
    <mergeCell ref="A191:E191"/>
    <mergeCell ref="A192:E192"/>
    <mergeCell ref="A193:E193"/>
    <mergeCell ref="A206:A211"/>
    <mergeCell ref="B206:B211"/>
    <mergeCell ref="C206:C211"/>
    <mergeCell ref="D206:D207"/>
    <mergeCell ref="A196:E196"/>
    <mergeCell ref="A197:E197"/>
    <mergeCell ref="A175:E175"/>
    <mergeCell ref="A176:E176"/>
    <mergeCell ref="A177:E177"/>
    <mergeCell ref="J99:J100"/>
    <mergeCell ref="A107:A108"/>
    <mergeCell ref="B107:B108"/>
    <mergeCell ref="C107:C108"/>
    <mergeCell ref="D107:D108"/>
    <mergeCell ref="A109:A110"/>
    <mergeCell ref="B109:B110"/>
    <mergeCell ref="C109:C110"/>
    <mergeCell ref="D109:D110"/>
    <mergeCell ref="A99:A100"/>
    <mergeCell ref="B99:B100"/>
    <mergeCell ref="C99:C100"/>
    <mergeCell ref="D99:D100"/>
    <mergeCell ref="L82:L83"/>
    <mergeCell ref="M82:M83"/>
    <mergeCell ref="A85:A87"/>
    <mergeCell ref="B85:B87"/>
    <mergeCell ref="C85:C87"/>
    <mergeCell ref="D85:D87"/>
    <mergeCell ref="K85:K87"/>
    <mergeCell ref="L85:L87"/>
    <mergeCell ref="M85:M87"/>
    <mergeCell ref="A82:A83"/>
    <mergeCell ref="B82:B83"/>
    <mergeCell ref="C82:C83"/>
    <mergeCell ref="D82:D83"/>
    <mergeCell ref="J82:J83"/>
    <mergeCell ref="K82:K83"/>
    <mergeCell ref="L78:L79"/>
    <mergeCell ref="M78:M79"/>
    <mergeCell ref="A80:A81"/>
    <mergeCell ref="B80:B81"/>
    <mergeCell ref="C80:C81"/>
    <mergeCell ref="D80:D81"/>
    <mergeCell ref="J80:J81"/>
    <mergeCell ref="K80:K81"/>
    <mergeCell ref="L80:L81"/>
    <mergeCell ref="M80:M81"/>
    <mergeCell ref="A78:A79"/>
    <mergeCell ref="B78:B79"/>
    <mergeCell ref="C78:C79"/>
    <mergeCell ref="D78:D79"/>
    <mergeCell ref="J78:J79"/>
    <mergeCell ref="K78:K79"/>
    <mergeCell ref="A54:E54"/>
    <mergeCell ref="A55:E55"/>
    <mergeCell ref="A56:E56"/>
    <mergeCell ref="A68:E68"/>
    <mergeCell ref="A69:E69"/>
    <mergeCell ref="A70:E70"/>
    <mergeCell ref="A57:E57"/>
    <mergeCell ref="A58:E58"/>
    <mergeCell ref="A43:E43"/>
    <mergeCell ref="A44:E44"/>
    <mergeCell ref="A45:E45"/>
    <mergeCell ref="A46:E46"/>
    <mergeCell ref="K49:K50"/>
    <mergeCell ref="L49:L50"/>
    <mergeCell ref="K51:K53"/>
    <mergeCell ref="L51:L53"/>
    <mergeCell ref="A47:E47"/>
    <mergeCell ref="A16:E16"/>
    <mergeCell ref="A34:E34"/>
    <mergeCell ref="A35:E35"/>
    <mergeCell ref="A36:E36"/>
    <mergeCell ref="A41:A42"/>
    <mergeCell ref="B41:B42"/>
    <mergeCell ref="C41:C42"/>
    <mergeCell ref="D41:D42"/>
    <mergeCell ref="A20:E20"/>
    <mergeCell ref="A17:E17"/>
    <mergeCell ref="A18:E18"/>
    <mergeCell ref="A19:E19"/>
    <mergeCell ref="A37:E37"/>
    <mergeCell ref="A38:E38"/>
    <mergeCell ref="A39:E39"/>
    <mergeCell ref="A10:E10"/>
    <mergeCell ref="A11:E11"/>
    <mergeCell ref="A12:E12"/>
    <mergeCell ref="A13:E13"/>
    <mergeCell ref="A14:E14"/>
    <mergeCell ref="A15:E15"/>
    <mergeCell ref="A4:E4"/>
    <mergeCell ref="A5:E5"/>
    <mergeCell ref="A6:E6"/>
    <mergeCell ref="A7:E7"/>
    <mergeCell ref="A8:E8"/>
    <mergeCell ref="A9:E9"/>
    <mergeCell ref="A1:M1"/>
    <mergeCell ref="A2:A3"/>
    <mergeCell ref="B2:B3"/>
    <mergeCell ref="C2:C3"/>
    <mergeCell ref="D2:D3"/>
    <mergeCell ref="E2:E3"/>
    <mergeCell ref="F2:I2"/>
    <mergeCell ref="J2:J3"/>
    <mergeCell ref="M2:M3"/>
  </mergeCells>
  <pageMargins left="0.70866141732283472" right="0.70866141732283472" top="0.74803149606299213" bottom="0.74803149606299213" header="0.31496062992125984" footer="0.31496062992125984"/>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3C8B-B781-4D5D-B145-CE3C63FBE2E8}">
  <dimension ref="A2:D48"/>
  <sheetViews>
    <sheetView topLeftCell="A30" zoomScale="80" zoomScaleNormal="80" workbookViewId="0">
      <selection activeCell="B38" sqref="B38"/>
    </sheetView>
  </sheetViews>
  <sheetFormatPr defaultRowHeight="14.5" x14ac:dyDescent="0.35"/>
  <cols>
    <col min="2" max="2" width="54.81640625" customWidth="1"/>
    <col min="3" max="3" width="22.7265625" customWidth="1"/>
    <col min="4" max="4" width="68.453125" customWidth="1"/>
  </cols>
  <sheetData>
    <row r="2" spans="1:4" ht="16" x14ac:dyDescent="0.35">
      <c r="A2" s="445" t="s">
        <v>602</v>
      </c>
      <c r="B2" s="445"/>
      <c r="C2" s="445"/>
      <c r="D2" s="445"/>
    </row>
    <row r="4" spans="1:4" x14ac:dyDescent="0.35">
      <c r="A4" s="580" t="s">
        <v>79</v>
      </c>
      <c r="B4" s="580" t="s">
        <v>603</v>
      </c>
      <c r="C4" s="580" t="s">
        <v>604</v>
      </c>
      <c r="D4" s="580" t="s">
        <v>605</v>
      </c>
    </row>
    <row r="5" spans="1:4" x14ac:dyDescent="0.35">
      <c r="A5" s="580"/>
      <c r="B5" s="580"/>
      <c r="C5" s="580"/>
      <c r="D5" s="580"/>
    </row>
    <row r="6" spans="1:4" ht="16" x14ac:dyDescent="0.35">
      <c r="A6" s="579" t="s">
        <v>606</v>
      </c>
      <c r="B6" s="579"/>
      <c r="C6" s="579"/>
      <c r="D6" s="579"/>
    </row>
    <row r="7" spans="1:4" ht="29" x14ac:dyDescent="0.35">
      <c r="A7" s="25" t="s">
        <v>607</v>
      </c>
      <c r="B7" s="25" t="s">
        <v>608</v>
      </c>
      <c r="C7" s="12">
        <v>136297158.77000001</v>
      </c>
      <c r="D7" s="26" t="s">
        <v>609</v>
      </c>
    </row>
    <row r="8" spans="1:4" ht="29" x14ac:dyDescent="0.35">
      <c r="A8" s="27" t="s">
        <v>610</v>
      </c>
      <c r="B8" s="27" t="s">
        <v>611</v>
      </c>
      <c r="C8" s="28">
        <v>54896579.25</v>
      </c>
      <c r="D8" s="26" t="s">
        <v>612</v>
      </c>
    </row>
    <row r="9" spans="1:4" ht="29" x14ac:dyDescent="0.35">
      <c r="A9" s="25" t="s">
        <v>613</v>
      </c>
      <c r="B9" s="29" t="s">
        <v>614</v>
      </c>
      <c r="C9" s="12"/>
      <c r="D9" s="30"/>
    </row>
    <row r="10" spans="1:4" ht="29" x14ac:dyDescent="0.35">
      <c r="A10" s="25" t="s">
        <v>615</v>
      </c>
      <c r="B10" s="25" t="s">
        <v>616</v>
      </c>
      <c r="C10" s="12"/>
      <c r="D10" s="26" t="s">
        <v>617</v>
      </c>
    </row>
    <row r="11" spans="1:4" x14ac:dyDescent="0.35">
      <c r="A11" s="25" t="s">
        <v>618</v>
      </c>
      <c r="B11" s="25" t="s">
        <v>619</v>
      </c>
      <c r="C11" s="12"/>
      <c r="D11" s="26" t="s">
        <v>620</v>
      </c>
    </row>
    <row r="12" spans="1:4" ht="174" x14ac:dyDescent="0.35">
      <c r="A12" s="27" t="s">
        <v>621</v>
      </c>
      <c r="B12" s="27" t="s">
        <v>622</v>
      </c>
      <c r="C12" s="28">
        <v>100000</v>
      </c>
      <c r="D12" s="31" t="s">
        <v>623</v>
      </c>
    </row>
    <row r="13" spans="1:4" x14ac:dyDescent="0.35">
      <c r="A13" s="27" t="s">
        <v>624</v>
      </c>
      <c r="B13" s="27" t="s">
        <v>625</v>
      </c>
      <c r="C13" s="32"/>
      <c r="D13" s="33"/>
    </row>
    <row r="14" spans="1:4" ht="58" x14ac:dyDescent="0.35">
      <c r="A14" s="27" t="s">
        <v>626</v>
      </c>
      <c r="B14" s="27" t="s">
        <v>627</v>
      </c>
      <c r="C14" s="32"/>
      <c r="D14" s="26" t="s">
        <v>628</v>
      </c>
    </row>
    <row r="15" spans="1:4" ht="29" x14ac:dyDescent="0.35">
      <c r="A15" s="25" t="s">
        <v>629</v>
      </c>
      <c r="B15" s="25" t="s">
        <v>630</v>
      </c>
      <c r="C15" s="12">
        <v>33692681.509999998</v>
      </c>
      <c r="D15" s="26" t="s">
        <v>631</v>
      </c>
    </row>
    <row r="16" spans="1:4" ht="116" x14ac:dyDescent="0.35">
      <c r="A16" s="25" t="s">
        <v>632</v>
      </c>
      <c r="B16" s="25" t="s">
        <v>633</v>
      </c>
      <c r="C16" s="12"/>
      <c r="D16" s="26" t="s">
        <v>634</v>
      </c>
    </row>
    <row r="17" spans="1:4" x14ac:dyDescent="0.35">
      <c r="A17" s="25" t="s">
        <v>635</v>
      </c>
      <c r="B17" s="25" t="s">
        <v>636</v>
      </c>
      <c r="C17" s="12"/>
      <c r="D17" s="26" t="s">
        <v>637</v>
      </c>
    </row>
    <row r="18" spans="1:4" x14ac:dyDescent="0.35">
      <c r="A18" s="25" t="s">
        <v>638</v>
      </c>
      <c r="B18" s="25" t="s">
        <v>639</v>
      </c>
      <c r="C18" s="12"/>
      <c r="D18" s="26" t="s">
        <v>640</v>
      </c>
    </row>
    <row r="19" spans="1:4" ht="16" x14ac:dyDescent="0.35">
      <c r="A19" s="573" t="s">
        <v>641</v>
      </c>
      <c r="B19" s="574"/>
      <c r="C19" s="574"/>
      <c r="D19" s="575"/>
    </row>
    <row r="20" spans="1:4" x14ac:dyDescent="0.35">
      <c r="A20" s="576" t="s">
        <v>15</v>
      </c>
      <c r="B20" s="577"/>
      <c r="C20" s="577"/>
      <c r="D20" s="578"/>
    </row>
    <row r="21" spans="1:4" ht="29" x14ac:dyDescent="0.35">
      <c r="A21" s="25" t="s">
        <v>642</v>
      </c>
      <c r="B21" s="29" t="s">
        <v>643</v>
      </c>
      <c r="C21" s="12"/>
      <c r="D21" s="33"/>
    </row>
    <row r="22" spans="1:4" x14ac:dyDescent="0.35">
      <c r="A22" s="25" t="s">
        <v>644</v>
      </c>
      <c r="B22" s="29" t="s">
        <v>645</v>
      </c>
      <c r="C22" s="12">
        <v>1454987</v>
      </c>
      <c r="D22" s="26" t="s">
        <v>646</v>
      </c>
    </row>
    <row r="23" spans="1:4" ht="29" x14ac:dyDescent="0.35">
      <c r="A23" s="25" t="s">
        <v>613</v>
      </c>
      <c r="B23" s="29" t="s">
        <v>647</v>
      </c>
      <c r="C23" s="12">
        <v>7407748</v>
      </c>
      <c r="D23" s="26" t="s">
        <v>648</v>
      </c>
    </row>
    <row r="24" spans="1:4" x14ac:dyDescent="0.35">
      <c r="A24" s="576" t="s">
        <v>16</v>
      </c>
      <c r="B24" s="577"/>
      <c r="C24" s="577"/>
      <c r="D24" s="578"/>
    </row>
    <row r="25" spans="1:4" ht="43.5" x14ac:dyDescent="0.35">
      <c r="A25" s="25" t="s">
        <v>615</v>
      </c>
      <c r="B25" s="29" t="s">
        <v>649</v>
      </c>
      <c r="C25" s="12"/>
      <c r="D25" s="33"/>
    </row>
    <row r="26" spans="1:4" x14ac:dyDescent="0.35">
      <c r="A26" s="576" t="s">
        <v>650</v>
      </c>
      <c r="B26" s="577"/>
      <c r="C26" s="577"/>
      <c r="D26" s="578"/>
    </row>
    <row r="27" spans="1:4" ht="72.5" x14ac:dyDescent="0.35">
      <c r="A27" s="25" t="s">
        <v>651</v>
      </c>
      <c r="B27" s="29" t="s">
        <v>652</v>
      </c>
      <c r="C27" s="12"/>
      <c r="D27" s="33"/>
    </row>
    <row r="28" spans="1:4" x14ac:dyDescent="0.35">
      <c r="A28" s="576" t="s">
        <v>29</v>
      </c>
      <c r="B28" s="577"/>
      <c r="C28" s="577"/>
      <c r="D28" s="578"/>
    </row>
    <row r="29" spans="1:4" ht="217.5" x14ac:dyDescent="0.35">
      <c r="A29" s="25" t="s">
        <v>621</v>
      </c>
      <c r="B29" s="29" t="s">
        <v>653</v>
      </c>
      <c r="C29" s="12"/>
      <c r="D29" s="26" t="s">
        <v>654</v>
      </c>
    </row>
    <row r="30" spans="1:4" x14ac:dyDescent="0.35">
      <c r="A30" s="25" t="s">
        <v>624</v>
      </c>
      <c r="B30" s="25" t="s">
        <v>655</v>
      </c>
      <c r="C30" s="12"/>
      <c r="D30" s="33"/>
    </row>
    <row r="31" spans="1:4" x14ac:dyDescent="0.35">
      <c r="A31" s="576" t="s">
        <v>31</v>
      </c>
      <c r="B31" s="577"/>
      <c r="C31" s="577"/>
      <c r="D31" s="578"/>
    </row>
    <row r="32" spans="1:4" ht="72.5" x14ac:dyDescent="0.35">
      <c r="A32" s="25" t="s">
        <v>626</v>
      </c>
      <c r="B32" s="29" t="s">
        <v>656</v>
      </c>
      <c r="C32" s="12"/>
      <c r="D32" s="26" t="s">
        <v>657</v>
      </c>
    </row>
    <row r="33" spans="1:4" ht="58" x14ac:dyDescent="0.35">
      <c r="A33" s="25" t="s">
        <v>658</v>
      </c>
      <c r="B33" s="29" t="s">
        <v>659</v>
      </c>
      <c r="C33" s="12"/>
      <c r="D33" s="26" t="s">
        <v>660</v>
      </c>
    </row>
    <row r="34" spans="1:4" ht="87" x14ac:dyDescent="0.35">
      <c r="A34" s="25" t="s">
        <v>632</v>
      </c>
      <c r="B34" s="29" t="s">
        <v>661</v>
      </c>
      <c r="C34" s="12"/>
      <c r="D34" s="26" t="s">
        <v>662</v>
      </c>
    </row>
    <row r="35" spans="1:4" ht="43.5" x14ac:dyDescent="0.35">
      <c r="A35" s="25" t="s">
        <v>635</v>
      </c>
      <c r="B35" s="29" t="s">
        <v>663</v>
      </c>
      <c r="C35" s="12"/>
      <c r="D35" s="33"/>
    </row>
    <row r="36" spans="1:4" ht="16" x14ac:dyDescent="0.35">
      <c r="A36" s="573" t="s">
        <v>664</v>
      </c>
      <c r="B36" s="574"/>
      <c r="C36" s="574"/>
      <c r="D36" s="575"/>
    </row>
    <row r="37" spans="1:4" ht="29" x14ac:dyDescent="0.35">
      <c r="A37" s="25" t="s">
        <v>642</v>
      </c>
      <c r="B37" s="29" t="s">
        <v>665</v>
      </c>
      <c r="C37" s="12">
        <v>224886419.53</v>
      </c>
      <c r="D37" s="26" t="s">
        <v>666</v>
      </c>
    </row>
    <row r="38" spans="1:4" ht="29" x14ac:dyDescent="0.35">
      <c r="A38" s="25" t="s">
        <v>644</v>
      </c>
      <c r="B38" s="29" t="s">
        <v>667</v>
      </c>
      <c r="C38" s="12">
        <v>21202355</v>
      </c>
      <c r="D38" s="30" t="s">
        <v>668</v>
      </c>
    </row>
    <row r="39" spans="1:4" ht="29" x14ac:dyDescent="0.35">
      <c r="A39" s="25" t="s">
        <v>613</v>
      </c>
      <c r="B39" s="29" t="s">
        <v>669</v>
      </c>
      <c r="C39" s="12">
        <v>4190799</v>
      </c>
      <c r="D39" s="30"/>
    </row>
    <row r="40" spans="1:4" ht="29" x14ac:dyDescent="0.35">
      <c r="A40" s="25" t="s">
        <v>615</v>
      </c>
      <c r="B40" s="25" t="s">
        <v>670</v>
      </c>
      <c r="C40" s="12">
        <v>7407748</v>
      </c>
      <c r="D40" s="26" t="s">
        <v>671</v>
      </c>
    </row>
    <row r="41" spans="1:4" ht="261" x14ac:dyDescent="0.35">
      <c r="A41" s="25" t="s">
        <v>651</v>
      </c>
      <c r="B41" s="25" t="s">
        <v>672</v>
      </c>
      <c r="C41" s="34">
        <v>0</v>
      </c>
      <c r="D41" s="26" t="s">
        <v>673</v>
      </c>
    </row>
    <row r="42" spans="1:4" ht="29" x14ac:dyDescent="0.35">
      <c r="A42" s="27" t="s">
        <v>621</v>
      </c>
      <c r="B42" s="27" t="s">
        <v>674</v>
      </c>
      <c r="C42" s="34">
        <v>257704</v>
      </c>
      <c r="D42" s="26" t="s">
        <v>675</v>
      </c>
    </row>
    <row r="43" spans="1:4" ht="130.5" x14ac:dyDescent="0.35">
      <c r="A43" s="27" t="s">
        <v>624</v>
      </c>
      <c r="B43" s="27" t="s">
        <v>676</v>
      </c>
      <c r="C43" s="34"/>
      <c r="D43" s="26" t="s">
        <v>677</v>
      </c>
    </row>
    <row r="44" spans="1:4" ht="116" x14ac:dyDescent="0.35">
      <c r="A44" s="27" t="s">
        <v>626</v>
      </c>
      <c r="B44" s="27" t="s">
        <v>678</v>
      </c>
      <c r="C44" s="12">
        <v>170499</v>
      </c>
      <c r="D44" s="26" t="s">
        <v>679</v>
      </c>
    </row>
    <row r="45" spans="1:4" x14ac:dyDescent="0.35">
      <c r="A45" s="27" t="s">
        <v>658</v>
      </c>
      <c r="B45" s="71" t="s">
        <v>680</v>
      </c>
      <c r="C45" s="72"/>
      <c r="D45" s="73" t="s">
        <v>681</v>
      </c>
    </row>
    <row r="46" spans="1:4" ht="29" x14ac:dyDescent="0.35">
      <c r="A46" s="27" t="s">
        <v>632</v>
      </c>
      <c r="B46" s="27" t="s">
        <v>682</v>
      </c>
      <c r="C46" s="34"/>
      <c r="D46" s="26" t="s">
        <v>683</v>
      </c>
    </row>
    <row r="47" spans="1:4" x14ac:dyDescent="0.35">
      <c r="C47" s="35"/>
    </row>
    <row r="48" spans="1:4" x14ac:dyDescent="0.35">
      <c r="A48" s="36" t="s">
        <v>684</v>
      </c>
    </row>
  </sheetData>
  <mergeCells count="13">
    <mergeCell ref="A6:D6"/>
    <mergeCell ref="A2:D2"/>
    <mergeCell ref="A4:A5"/>
    <mergeCell ref="B4:B5"/>
    <mergeCell ref="C4:C5"/>
    <mergeCell ref="D4:D5"/>
    <mergeCell ref="A36:D36"/>
    <mergeCell ref="A19:D19"/>
    <mergeCell ref="A20:D20"/>
    <mergeCell ref="A24:D24"/>
    <mergeCell ref="A26:D26"/>
    <mergeCell ref="A28:D28"/>
    <mergeCell ref="A31:D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F16B-23FE-4AB1-A1A7-F3CE25F4CF2F}">
  <sheetPr>
    <pageSetUpPr fitToPage="1"/>
  </sheetPr>
  <dimension ref="A3:H37"/>
  <sheetViews>
    <sheetView topLeftCell="A7" zoomScale="90" zoomScaleNormal="90" workbookViewId="0">
      <selection activeCell="B38" sqref="B38"/>
    </sheetView>
  </sheetViews>
  <sheetFormatPr defaultColWidth="9.1796875" defaultRowHeight="14" x14ac:dyDescent="0.3"/>
  <cols>
    <col min="1" max="1" width="4.1796875" style="74" customWidth="1"/>
    <col min="2" max="2" width="35.453125" style="108" customWidth="1"/>
    <col min="3" max="4" width="12.453125" style="74" customWidth="1"/>
    <col min="5" max="5" width="11.453125" style="74" customWidth="1"/>
    <col min="6" max="6" width="13" style="74" customWidth="1"/>
    <col min="7" max="7" width="45.1796875" style="108" customWidth="1"/>
    <col min="8" max="8" width="44" style="74" customWidth="1"/>
    <col min="9" max="16384" width="9.1796875" style="74"/>
  </cols>
  <sheetData>
    <row r="3" spans="1:8" x14ac:dyDescent="0.3">
      <c r="B3" s="108" t="s">
        <v>685</v>
      </c>
    </row>
    <row r="5" spans="1:8" x14ac:dyDescent="0.3">
      <c r="C5" s="74">
        <v>2026</v>
      </c>
      <c r="D5" s="74">
        <v>2027</v>
      </c>
      <c r="E5" s="74">
        <v>2028</v>
      </c>
      <c r="F5" s="74">
        <v>2029</v>
      </c>
      <c r="G5" s="108" t="s">
        <v>686</v>
      </c>
      <c r="H5" s="74" t="s">
        <v>687</v>
      </c>
    </row>
    <row r="6" spans="1:8" x14ac:dyDescent="0.3">
      <c r="B6" s="582" t="s">
        <v>688</v>
      </c>
      <c r="C6" s="582"/>
      <c r="D6" s="582"/>
      <c r="E6" s="582"/>
      <c r="F6" s="582"/>
      <c r="G6" s="582"/>
    </row>
    <row r="7" spans="1:8" ht="56.5" x14ac:dyDescent="0.35">
      <c r="A7" s="109" t="s">
        <v>607</v>
      </c>
      <c r="B7" s="110" t="s">
        <v>689</v>
      </c>
      <c r="C7" s="111">
        <v>4190799</v>
      </c>
      <c r="D7" s="111">
        <v>4190799</v>
      </c>
      <c r="E7" s="111">
        <v>4190799</v>
      </c>
      <c r="F7" s="112"/>
      <c r="G7" s="113" t="s">
        <v>690</v>
      </c>
      <c r="H7" s="109"/>
    </row>
    <row r="8" spans="1:8" ht="42.5" x14ac:dyDescent="0.35">
      <c r="A8" s="109"/>
      <c r="B8" s="110" t="s">
        <v>691</v>
      </c>
      <c r="C8" s="111">
        <v>6000000</v>
      </c>
      <c r="D8" s="111">
        <v>6000000</v>
      </c>
      <c r="E8" s="111">
        <v>6000000</v>
      </c>
      <c r="F8" s="112"/>
      <c r="G8" s="113" t="s">
        <v>692</v>
      </c>
      <c r="H8" s="109"/>
    </row>
    <row r="9" spans="1:8" ht="42.5" x14ac:dyDescent="0.35">
      <c r="A9" s="109"/>
      <c r="B9" s="110" t="s">
        <v>693</v>
      </c>
      <c r="C9" s="111">
        <v>340835</v>
      </c>
      <c r="D9" s="111">
        <v>340835</v>
      </c>
      <c r="E9" s="111">
        <v>340835</v>
      </c>
      <c r="F9" s="112"/>
      <c r="G9" s="113"/>
      <c r="H9" s="110" t="s">
        <v>694</v>
      </c>
    </row>
    <row r="10" spans="1:8" ht="28" x14ac:dyDescent="0.3">
      <c r="A10" s="109" t="s">
        <v>644</v>
      </c>
      <c r="B10" s="110" t="s">
        <v>695</v>
      </c>
      <c r="C10" s="114">
        <v>1753236</v>
      </c>
      <c r="D10" s="112">
        <v>1753236</v>
      </c>
      <c r="E10" s="112">
        <v>1753236</v>
      </c>
      <c r="F10" s="112"/>
      <c r="G10" s="113" t="s">
        <v>692</v>
      </c>
      <c r="H10" s="109"/>
    </row>
    <row r="11" spans="1:8" ht="28" x14ac:dyDescent="0.3">
      <c r="A11" s="109" t="s">
        <v>613</v>
      </c>
      <c r="B11" s="110" t="s">
        <v>696</v>
      </c>
      <c r="C11" s="112"/>
      <c r="D11" s="114">
        <v>3696308</v>
      </c>
      <c r="E11" s="112">
        <v>3696308</v>
      </c>
      <c r="F11" s="112"/>
      <c r="G11" s="110" t="s">
        <v>697</v>
      </c>
      <c r="H11" s="109"/>
    </row>
    <row r="12" spans="1:8" ht="28" x14ac:dyDescent="0.3">
      <c r="A12" s="109"/>
      <c r="B12" s="110" t="s">
        <v>698</v>
      </c>
      <c r="C12" s="112"/>
      <c r="D12" s="112"/>
      <c r="E12" s="114">
        <v>5779449</v>
      </c>
      <c r="F12" s="112"/>
      <c r="G12" s="110" t="s">
        <v>699</v>
      </c>
      <c r="H12" s="109"/>
    </row>
    <row r="13" spans="1:8" x14ac:dyDescent="0.3">
      <c r="A13" s="109"/>
      <c r="B13" s="110"/>
      <c r="C13" s="115"/>
      <c r="D13" s="112"/>
      <c r="E13" s="112"/>
      <c r="F13" s="112"/>
    </row>
    <row r="14" spans="1:8" x14ac:dyDescent="0.3">
      <c r="A14" s="109"/>
      <c r="B14" s="116" t="s">
        <v>700</v>
      </c>
      <c r="C14" s="117">
        <f>C7+C10+C8+C9</f>
        <v>12284870</v>
      </c>
      <c r="D14" s="117">
        <f>D7+D11+D8+D9</f>
        <v>14227942</v>
      </c>
      <c r="E14" s="117">
        <f>E7+E12+E8+E9</f>
        <v>16311083</v>
      </c>
      <c r="F14" s="112"/>
    </row>
    <row r="15" spans="1:8" x14ac:dyDescent="0.3">
      <c r="B15" s="583" t="s">
        <v>701</v>
      </c>
      <c r="C15" s="583"/>
      <c r="D15" s="583"/>
      <c r="E15" s="583"/>
      <c r="F15" s="583"/>
      <c r="G15" s="583"/>
    </row>
    <row r="16" spans="1:8" ht="28" x14ac:dyDescent="0.3">
      <c r="B16" s="110" t="s">
        <v>52</v>
      </c>
      <c r="C16" s="115">
        <f>28347303*1.2359/2</f>
        <v>17517215.88885</v>
      </c>
      <c r="D16" s="112">
        <f t="shared" ref="D16:E16" si="0">28347303*1.2359/2</f>
        <v>17517215.88885</v>
      </c>
      <c r="E16" s="112">
        <f t="shared" si="0"/>
        <v>17517215.88885</v>
      </c>
      <c r="F16" s="112"/>
      <c r="G16" s="110" t="s">
        <v>702</v>
      </c>
      <c r="H16" s="109" t="s">
        <v>703</v>
      </c>
    </row>
    <row r="17" spans="2:8" x14ac:dyDescent="0.3">
      <c r="B17" s="584" t="s">
        <v>704</v>
      </c>
      <c r="C17" s="584"/>
      <c r="D17" s="584"/>
      <c r="E17" s="584"/>
      <c r="F17" s="584"/>
      <c r="G17" s="584"/>
    </row>
    <row r="18" spans="2:8" ht="28" x14ac:dyDescent="0.3">
      <c r="B18" s="110" t="s">
        <v>705</v>
      </c>
      <c r="C18" s="115">
        <f>25858761*1.2359</f>
        <v>31958842.719900001</v>
      </c>
      <c r="D18" s="112">
        <f t="shared" ref="D18:E18" si="1">25858761*1.2359</f>
        <v>31958842.719900001</v>
      </c>
      <c r="E18" s="112">
        <f t="shared" si="1"/>
        <v>31958842.719900001</v>
      </c>
      <c r="F18" s="112"/>
      <c r="G18" s="110" t="s">
        <v>706</v>
      </c>
      <c r="H18" s="110" t="s">
        <v>707</v>
      </c>
    </row>
    <row r="19" spans="2:8" ht="56" x14ac:dyDescent="0.3">
      <c r="B19" s="110" t="s">
        <v>708</v>
      </c>
      <c r="C19" s="112">
        <f>13110196*1.2359</f>
        <v>16202891.236400001</v>
      </c>
      <c r="D19" s="112">
        <f t="shared" ref="D19:E19" si="2">13110196*1.2359</f>
        <v>16202891.236400001</v>
      </c>
      <c r="E19" s="112">
        <f t="shared" si="2"/>
        <v>16202891.236400001</v>
      </c>
      <c r="F19" s="112"/>
      <c r="G19" s="110" t="s">
        <v>706</v>
      </c>
      <c r="H19" s="110" t="s">
        <v>707</v>
      </c>
    </row>
    <row r="20" spans="2:8" x14ac:dyDescent="0.3">
      <c r="B20" s="118" t="s">
        <v>700</v>
      </c>
      <c r="C20" s="119">
        <f>C18+C19</f>
        <v>48161733.956300005</v>
      </c>
      <c r="D20" s="119">
        <f t="shared" ref="D20:E20" si="3">D18+D19</f>
        <v>48161733.956300005</v>
      </c>
      <c r="E20" s="119">
        <f t="shared" si="3"/>
        <v>48161733.956300005</v>
      </c>
      <c r="F20" s="120"/>
    </row>
    <row r="21" spans="2:8" x14ac:dyDescent="0.3">
      <c r="B21" s="585" t="s">
        <v>709</v>
      </c>
      <c r="C21" s="585"/>
      <c r="D21" s="585"/>
      <c r="E21" s="585"/>
      <c r="F21" s="585"/>
      <c r="G21" s="585"/>
    </row>
    <row r="22" spans="2:8" ht="42" x14ac:dyDescent="0.3">
      <c r="B22" s="110" t="s">
        <v>74</v>
      </c>
      <c r="C22" s="112">
        <f>28692025*0.1*1.2359</f>
        <v>3546047.3697500001</v>
      </c>
      <c r="D22" s="112">
        <f t="shared" ref="D22:E22" si="4">28692025*0.1*1.2359</f>
        <v>3546047.3697500001</v>
      </c>
      <c r="E22" s="112">
        <f t="shared" si="4"/>
        <v>3546047.3697500001</v>
      </c>
      <c r="F22" s="112"/>
      <c r="G22" s="110" t="s">
        <v>710</v>
      </c>
      <c r="H22" s="110" t="s">
        <v>707</v>
      </c>
    </row>
    <row r="23" spans="2:8" ht="28" x14ac:dyDescent="0.3">
      <c r="B23" s="110" t="s">
        <v>75</v>
      </c>
      <c r="C23" s="112">
        <f>((9715689+17723661+13110196)/3)*1.2359</f>
        <v>16705061.300466668</v>
      </c>
      <c r="D23" s="112">
        <f t="shared" ref="D23:E23" si="5">((9715689+17723661+13110196)/3)*1.2359</f>
        <v>16705061.300466668</v>
      </c>
      <c r="E23" s="112">
        <f t="shared" si="5"/>
        <v>16705061.300466668</v>
      </c>
      <c r="F23" s="112"/>
      <c r="G23" s="110" t="s">
        <v>706</v>
      </c>
      <c r="H23" s="110" t="s">
        <v>707</v>
      </c>
    </row>
    <row r="24" spans="2:8" x14ac:dyDescent="0.3">
      <c r="B24" s="118" t="s">
        <v>700</v>
      </c>
      <c r="C24" s="119">
        <f>C22+C23</f>
        <v>20251108.670216668</v>
      </c>
      <c r="D24" s="119">
        <f t="shared" ref="D24:E24" si="6">D22+D23</f>
        <v>20251108.670216668</v>
      </c>
      <c r="E24" s="119">
        <f t="shared" si="6"/>
        <v>20251108.670216668</v>
      </c>
      <c r="F24" s="120"/>
    </row>
    <row r="25" spans="2:8" x14ac:dyDescent="0.3">
      <c r="B25" s="586" t="s">
        <v>711</v>
      </c>
      <c r="C25" s="586"/>
      <c r="D25" s="586"/>
      <c r="E25" s="586"/>
      <c r="F25" s="586"/>
      <c r="G25" s="586"/>
    </row>
    <row r="26" spans="2:8" ht="56" x14ac:dyDescent="0.3">
      <c r="B26" s="110" t="s">
        <v>712</v>
      </c>
      <c r="C26" s="112">
        <f>(1021022*0.9*12)*1.2359*0.7</f>
        <v>9539821.038888</v>
      </c>
      <c r="D26" s="112">
        <f t="shared" ref="D26:E26" si="7">(1021022*0.9*12)*1.2359*0.7</f>
        <v>9539821.038888</v>
      </c>
      <c r="E26" s="112">
        <f t="shared" si="7"/>
        <v>9539821.038888</v>
      </c>
      <c r="F26" s="112"/>
      <c r="G26" s="110" t="s">
        <v>713</v>
      </c>
      <c r="H26" s="110" t="s">
        <v>714</v>
      </c>
    </row>
    <row r="27" spans="2:8" x14ac:dyDescent="0.3">
      <c r="B27" s="587" t="s">
        <v>715</v>
      </c>
      <c r="C27" s="587"/>
      <c r="D27" s="587"/>
      <c r="E27" s="587"/>
      <c r="F27" s="587"/>
      <c r="G27" s="587"/>
    </row>
    <row r="28" spans="2:8" ht="56" x14ac:dyDescent="0.3">
      <c r="B28" s="110" t="s">
        <v>716</v>
      </c>
      <c r="C28" s="112">
        <f>(1940729*0.9*12)*1.2359*0.6</f>
        <v>15542584.372728001</v>
      </c>
      <c r="D28" s="112">
        <f t="shared" ref="D28:E28" si="8">(1940729*0.9*12)*1.2359*0.6</f>
        <v>15542584.372728001</v>
      </c>
      <c r="E28" s="112">
        <f t="shared" si="8"/>
        <v>15542584.372728001</v>
      </c>
      <c r="F28" s="112"/>
      <c r="G28" s="110" t="s">
        <v>713</v>
      </c>
      <c r="H28" s="110" t="s">
        <v>714</v>
      </c>
    </row>
    <row r="29" spans="2:8" x14ac:dyDescent="0.3">
      <c r="B29" s="581" t="s">
        <v>717</v>
      </c>
      <c r="C29" s="581"/>
      <c r="D29" s="581"/>
      <c r="E29" s="581"/>
      <c r="F29" s="581"/>
      <c r="G29" s="581"/>
    </row>
    <row r="30" spans="2:8" ht="154" x14ac:dyDescent="0.3">
      <c r="B30" s="110" t="s">
        <v>718</v>
      </c>
      <c r="C30" s="112">
        <f>10758826*1.2359</f>
        <v>13296833.053400001</v>
      </c>
      <c r="D30" s="112">
        <f t="shared" ref="D30:E30" si="9">10758826*1.2359</f>
        <v>13296833.053400001</v>
      </c>
      <c r="E30" s="112">
        <f t="shared" si="9"/>
        <v>13296833.053400001</v>
      </c>
      <c r="F30" s="109"/>
      <c r="G30" s="110" t="s">
        <v>719</v>
      </c>
      <c r="H30" s="108" t="s">
        <v>720</v>
      </c>
    </row>
    <row r="33" spans="2:6" x14ac:dyDescent="0.3">
      <c r="B33" s="108" t="s">
        <v>721</v>
      </c>
    </row>
    <row r="34" spans="2:6" x14ac:dyDescent="0.3">
      <c r="B34" s="110"/>
      <c r="C34" s="121">
        <v>2026</v>
      </c>
      <c r="D34" s="121">
        <v>2027</v>
      </c>
      <c r="E34" s="121">
        <v>2028</v>
      </c>
      <c r="F34" s="74">
        <v>2029</v>
      </c>
    </row>
    <row r="35" spans="2:6" x14ac:dyDescent="0.3">
      <c r="B35" s="122" t="s">
        <v>722</v>
      </c>
      <c r="C35" s="123">
        <f>C14</f>
        <v>12284870</v>
      </c>
      <c r="D35" s="123">
        <f t="shared" ref="D35:E35" si="10">D14</f>
        <v>14227942</v>
      </c>
      <c r="E35" s="123">
        <f t="shared" si="10"/>
        <v>16311083</v>
      </c>
    </row>
    <row r="36" spans="2:6" ht="28" x14ac:dyDescent="0.3">
      <c r="B36" s="124" t="s">
        <v>723</v>
      </c>
      <c r="C36" s="123">
        <f>C35+C16</f>
        <v>29802085.88885</v>
      </c>
      <c r="D36" s="123">
        <f t="shared" ref="D36:E36" si="11">D35+D16</f>
        <v>31745157.88885</v>
      </c>
      <c r="E36" s="123">
        <f t="shared" si="11"/>
        <v>33828298.888850003</v>
      </c>
    </row>
    <row r="37" spans="2:6" ht="28" x14ac:dyDescent="0.3">
      <c r="B37" s="125" t="s">
        <v>724</v>
      </c>
      <c r="C37" s="123">
        <f>C14+C16+C18</f>
        <v>61760928.608750001</v>
      </c>
      <c r="D37" s="123">
        <f t="shared" ref="D37:E37" si="12">D14+D16+D18</f>
        <v>63704000.608750001</v>
      </c>
      <c r="E37" s="123">
        <f t="shared" si="12"/>
        <v>65787141.608750001</v>
      </c>
    </row>
  </sheetData>
  <mergeCells count="7">
    <mergeCell ref="B29:G29"/>
    <mergeCell ref="B6:G6"/>
    <mergeCell ref="B15:G15"/>
    <mergeCell ref="B17:G17"/>
    <mergeCell ref="B21:G21"/>
    <mergeCell ref="B25:G25"/>
    <mergeCell ref="B27:G27"/>
  </mergeCells>
  <pageMargins left="0.7" right="0.7" top="0.31" bottom="0.47"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4504-0770-49A7-B90E-764B8057A71D}">
  <dimension ref="A1:C42"/>
  <sheetViews>
    <sheetView topLeftCell="A15" workbookViewId="0">
      <selection activeCell="B38" sqref="B38"/>
    </sheetView>
  </sheetViews>
  <sheetFormatPr defaultRowHeight="14.5" x14ac:dyDescent="0.35"/>
  <cols>
    <col min="1" max="1" width="104.81640625" customWidth="1"/>
    <col min="2" max="2" width="26.26953125" customWidth="1"/>
    <col min="3" max="3" width="22.54296875" customWidth="1"/>
  </cols>
  <sheetData>
    <row r="1" spans="1:3" ht="29.5" customHeight="1" x14ac:dyDescent="0.35">
      <c r="A1" s="58"/>
      <c r="B1" s="70" t="s">
        <v>725</v>
      </c>
      <c r="C1" s="70" t="s">
        <v>726</v>
      </c>
    </row>
    <row r="2" spans="1:3" x14ac:dyDescent="0.35">
      <c r="A2" s="59" t="s">
        <v>727</v>
      </c>
      <c r="B2" s="60">
        <f>SUM(B3:B5)</f>
        <v>60068067.910000011</v>
      </c>
      <c r="C2" s="61"/>
    </row>
    <row r="3" spans="1:3" hidden="1" x14ac:dyDescent="0.35">
      <c r="A3" s="62" t="s">
        <v>728</v>
      </c>
      <c r="B3" s="34">
        <v>25262526.709999997</v>
      </c>
      <c r="C3" s="33"/>
    </row>
    <row r="4" spans="1:3" hidden="1" x14ac:dyDescent="0.35">
      <c r="A4" s="62" t="s">
        <v>729</v>
      </c>
      <c r="B4" s="34">
        <v>6458238.6899999976</v>
      </c>
      <c r="C4" s="33"/>
    </row>
    <row r="5" spans="1:3" hidden="1" x14ac:dyDescent="0.35">
      <c r="A5" s="62" t="s">
        <v>730</v>
      </c>
      <c r="B5" s="34">
        <v>28347302.51000002</v>
      </c>
      <c r="C5" s="33"/>
    </row>
    <row r="6" spans="1:3" hidden="1" x14ac:dyDescent="0.35">
      <c r="A6" s="62" t="s">
        <v>731</v>
      </c>
      <c r="B6" s="33"/>
      <c r="C6" s="33"/>
    </row>
    <row r="7" spans="1:3" hidden="1" x14ac:dyDescent="0.35">
      <c r="A7" s="63" t="s">
        <v>732</v>
      </c>
      <c r="B7" s="33"/>
      <c r="C7" s="33"/>
    </row>
    <row r="8" spans="1:3" hidden="1" x14ac:dyDescent="0.35">
      <c r="A8" s="63" t="s">
        <v>733</v>
      </c>
      <c r="B8" s="33"/>
      <c r="C8" s="33"/>
    </row>
    <row r="9" spans="1:3" hidden="1" x14ac:dyDescent="0.35">
      <c r="A9" s="63" t="s">
        <v>734</v>
      </c>
      <c r="B9" s="33"/>
      <c r="C9" s="33"/>
    </row>
    <row r="10" spans="1:3" x14ac:dyDescent="0.35">
      <c r="A10" s="64" t="s">
        <v>735</v>
      </c>
      <c r="B10" s="65">
        <f>SUM(B11:B36)</f>
        <v>150954684.62</v>
      </c>
      <c r="C10" s="66"/>
    </row>
    <row r="11" spans="1:3" x14ac:dyDescent="0.35">
      <c r="A11" s="67" t="s">
        <v>736</v>
      </c>
      <c r="B11" s="34">
        <v>13110195.530000001</v>
      </c>
      <c r="C11" s="33"/>
    </row>
    <row r="12" spans="1:3" x14ac:dyDescent="0.35">
      <c r="A12" s="33" t="s">
        <v>728</v>
      </c>
      <c r="B12" s="34">
        <v>25262526.709999997</v>
      </c>
      <c r="C12" s="33"/>
    </row>
    <row r="13" spans="1:3" x14ac:dyDescent="0.35">
      <c r="A13" s="33" t="s">
        <v>729</v>
      </c>
      <c r="B13" s="34">
        <v>6458238.6899999976</v>
      </c>
      <c r="C13" s="33"/>
    </row>
    <row r="14" spans="1:3" x14ac:dyDescent="0.35">
      <c r="A14" s="33" t="s">
        <v>730</v>
      </c>
      <c r="B14" s="34">
        <v>28347302.51000002</v>
      </c>
      <c r="C14" s="33"/>
    </row>
    <row r="15" spans="1:3" x14ac:dyDescent="0.35">
      <c r="A15" s="33" t="s">
        <v>737</v>
      </c>
      <c r="B15" s="34">
        <v>8189201.9800000992</v>
      </c>
      <c r="C15" s="33"/>
    </row>
    <row r="16" spans="1:3" x14ac:dyDescent="0.35">
      <c r="A16" s="33" t="s">
        <v>738</v>
      </c>
      <c r="B16" s="34">
        <v>2789088.2400000007</v>
      </c>
      <c r="C16" s="33"/>
    </row>
    <row r="17" spans="1:3" x14ac:dyDescent="0.35">
      <c r="A17" s="33" t="s">
        <v>739</v>
      </c>
      <c r="B17" s="34">
        <v>2546155.6399999978</v>
      </c>
      <c r="C17" s="33"/>
    </row>
    <row r="18" spans="1:3" x14ac:dyDescent="0.35">
      <c r="A18" s="33" t="s">
        <v>740</v>
      </c>
      <c r="B18" s="34">
        <v>1798353.4800000018</v>
      </c>
      <c r="C18" s="33"/>
    </row>
    <row r="19" spans="1:3" x14ac:dyDescent="0.35">
      <c r="A19" s="33" t="s">
        <v>741</v>
      </c>
      <c r="B19" s="34">
        <v>13528246.839999996</v>
      </c>
      <c r="C19" s="33"/>
    </row>
    <row r="20" spans="1:3" x14ac:dyDescent="0.35">
      <c r="A20" s="33" t="s">
        <v>742</v>
      </c>
      <c r="B20" s="34">
        <v>257117.31999999989</v>
      </c>
      <c r="C20" s="33"/>
    </row>
    <row r="21" spans="1:3" x14ac:dyDescent="0.35">
      <c r="A21" s="33" t="s">
        <v>743</v>
      </c>
      <c r="B21" s="34">
        <v>27177.260000000002</v>
      </c>
      <c r="C21" s="33"/>
    </row>
    <row r="22" spans="1:3" x14ac:dyDescent="0.35">
      <c r="A22" s="33" t="s">
        <v>744</v>
      </c>
      <c r="B22" s="34">
        <v>50231.16</v>
      </c>
      <c r="C22" s="33"/>
    </row>
    <row r="23" spans="1:3" x14ac:dyDescent="0.35">
      <c r="A23" s="33" t="s">
        <v>745</v>
      </c>
      <c r="B23" s="34">
        <v>138184.63000000012</v>
      </c>
      <c r="C23" s="33"/>
    </row>
    <row r="24" spans="1:3" x14ac:dyDescent="0.35">
      <c r="A24" s="33" t="s">
        <v>746</v>
      </c>
      <c r="B24" s="34">
        <v>75462.509999999995</v>
      </c>
      <c r="C24" s="33"/>
    </row>
    <row r="25" spans="1:3" x14ac:dyDescent="0.35">
      <c r="A25" s="33" t="s">
        <v>747</v>
      </c>
      <c r="B25" s="34">
        <v>105027.62999999999</v>
      </c>
      <c r="C25" s="33"/>
    </row>
    <row r="26" spans="1:3" x14ac:dyDescent="0.35">
      <c r="A26" s="33" t="s">
        <v>748</v>
      </c>
      <c r="B26" s="34">
        <v>395598.48</v>
      </c>
      <c r="C26" s="33"/>
    </row>
    <row r="27" spans="1:3" x14ac:dyDescent="0.35">
      <c r="A27" s="33" t="s">
        <v>749</v>
      </c>
      <c r="B27" s="34">
        <v>38700</v>
      </c>
      <c r="C27" s="33"/>
    </row>
    <row r="28" spans="1:3" x14ac:dyDescent="0.35">
      <c r="A28" s="33" t="s">
        <v>750</v>
      </c>
      <c r="B28" s="34">
        <v>14601545.459999984</v>
      </c>
      <c r="C28" s="33"/>
    </row>
    <row r="29" spans="1:3" x14ac:dyDescent="0.35">
      <c r="A29" s="33" t="s">
        <v>751</v>
      </c>
      <c r="B29" s="34">
        <v>3833154.3799999952</v>
      </c>
      <c r="C29" s="33"/>
    </row>
    <row r="30" spans="1:3" x14ac:dyDescent="0.35">
      <c r="A30" s="33" t="s">
        <v>752</v>
      </c>
      <c r="B30" s="34">
        <v>19752.96</v>
      </c>
      <c r="C30" s="33"/>
    </row>
    <row r="31" spans="1:3" x14ac:dyDescent="0.35">
      <c r="A31" s="33" t="s">
        <v>753</v>
      </c>
      <c r="B31" s="34">
        <v>9715689.0799999889</v>
      </c>
      <c r="C31" s="33"/>
    </row>
    <row r="32" spans="1:3" x14ac:dyDescent="0.35">
      <c r="A32" s="33" t="s">
        <v>754</v>
      </c>
      <c r="B32" s="34">
        <v>177259.89999999997</v>
      </c>
      <c r="C32" s="33"/>
    </row>
    <row r="33" spans="1:3" x14ac:dyDescent="0.35">
      <c r="A33" s="33" t="s">
        <v>755</v>
      </c>
      <c r="B33" s="34">
        <v>17723661.29999999</v>
      </c>
      <c r="C33" s="33"/>
    </row>
    <row r="34" spans="1:3" x14ac:dyDescent="0.35">
      <c r="A34" s="33" t="s">
        <v>756</v>
      </c>
      <c r="B34" s="34">
        <v>368982.51</v>
      </c>
      <c r="C34" s="33"/>
    </row>
    <row r="35" spans="1:3" x14ac:dyDescent="0.35">
      <c r="A35" s="33" t="s">
        <v>757</v>
      </c>
      <c r="B35" s="34">
        <v>1390141.1599999992</v>
      </c>
      <c r="C35" s="33"/>
    </row>
    <row r="36" spans="1:3" x14ac:dyDescent="0.35">
      <c r="A36" s="33" t="s">
        <v>758</v>
      </c>
      <c r="B36" s="34">
        <v>7689.26</v>
      </c>
      <c r="C36" s="33"/>
    </row>
    <row r="37" spans="1:3" x14ac:dyDescent="0.35">
      <c r="A37" s="68" t="s">
        <v>759</v>
      </c>
      <c r="B37" s="65">
        <f>SUM(B38:B42)</f>
        <v>55310563.239999957</v>
      </c>
      <c r="C37" s="33"/>
    </row>
    <row r="38" spans="1:3" x14ac:dyDescent="0.35">
      <c r="A38" s="33" t="s">
        <v>760</v>
      </c>
      <c r="B38" s="34">
        <v>28692024.82999998</v>
      </c>
      <c r="C38" s="33"/>
    </row>
    <row r="39" spans="1:3" x14ac:dyDescent="0.35">
      <c r="A39" s="33" t="s">
        <v>761</v>
      </c>
      <c r="B39" s="34">
        <v>25858761.159999978</v>
      </c>
      <c r="C39" s="33"/>
    </row>
    <row r="40" spans="1:3" ht="29" x14ac:dyDescent="0.35">
      <c r="A40" s="69" t="s">
        <v>762</v>
      </c>
      <c r="B40" s="34">
        <v>573938.25</v>
      </c>
      <c r="C40" s="33"/>
    </row>
    <row r="41" spans="1:3" x14ac:dyDescent="0.35">
      <c r="A41" s="69" t="s">
        <v>763</v>
      </c>
      <c r="B41" s="34">
        <v>28800</v>
      </c>
      <c r="C41" s="33"/>
    </row>
    <row r="42" spans="1:3" ht="43.5" x14ac:dyDescent="0.35">
      <c r="A42" s="69" t="s">
        <v>764</v>
      </c>
      <c r="B42" s="34">
        <v>157039</v>
      </c>
      <c r="C42" s="3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CD5C-CCCC-4D31-A908-1F630DFBA379}">
  <dimension ref="A3:F124"/>
  <sheetViews>
    <sheetView workbookViewId="0">
      <selection activeCell="B38" sqref="B38"/>
    </sheetView>
  </sheetViews>
  <sheetFormatPr defaultColWidth="8.7265625" defaultRowHeight="14" x14ac:dyDescent="0.3"/>
  <cols>
    <col min="1" max="1" width="35.453125" style="74" customWidth="1"/>
    <col min="2" max="2" width="17.81640625" style="74" customWidth="1"/>
    <col min="3" max="3" width="17.453125" style="74" customWidth="1"/>
    <col min="4" max="16384" width="8.7265625" style="74"/>
  </cols>
  <sheetData>
    <row r="3" spans="1:6" x14ac:dyDescent="0.3">
      <c r="B3" s="74" t="s">
        <v>765</v>
      </c>
    </row>
    <row r="4" spans="1:6" x14ac:dyDescent="0.3">
      <c r="B4" s="74" t="s">
        <v>766</v>
      </c>
    </row>
    <row r="5" spans="1:6" x14ac:dyDescent="0.3">
      <c r="A5" s="74" t="s">
        <v>767</v>
      </c>
      <c r="B5" s="74" t="s">
        <v>768</v>
      </c>
      <c r="C5" s="74" t="s">
        <v>769</v>
      </c>
      <c r="E5" s="74" t="s">
        <v>770</v>
      </c>
      <c r="F5" s="74" t="s">
        <v>768</v>
      </c>
    </row>
    <row r="6" spans="1:6" x14ac:dyDescent="0.3">
      <c r="A6" s="75" t="s">
        <v>771</v>
      </c>
      <c r="B6" s="75">
        <v>28</v>
      </c>
      <c r="C6" s="75">
        <v>28</v>
      </c>
      <c r="E6" s="74" t="s">
        <v>772</v>
      </c>
      <c r="F6" s="74">
        <v>17</v>
      </c>
    </row>
    <row r="7" spans="1:6" x14ac:dyDescent="0.3">
      <c r="A7" s="74" t="s">
        <v>21</v>
      </c>
      <c r="B7" s="74">
        <v>17</v>
      </c>
      <c r="C7" s="74">
        <v>17</v>
      </c>
      <c r="E7" s="74" t="s">
        <v>773</v>
      </c>
      <c r="F7" s="74">
        <v>11</v>
      </c>
    </row>
    <row r="8" spans="1:6" x14ac:dyDescent="0.3">
      <c r="A8" s="74" t="s">
        <v>774</v>
      </c>
      <c r="B8" s="74">
        <v>1</v>
      </c>
      <c r="C8" s="74">
        <v>1</v>
      </c>
      <c r="E8" s="74" t="s">
        <v>775</v>
      </c>
      <c r="F8" s="74">
        <v>8</v>
      </c>
    </row>
    <row r="9" spans="1:6" x14ac:dyDescent="0.3">
      <c r="A9" s="74" t="s">
        <v>776</v>
      </c>
      <c r="B9" s="74">
        <v>1</v>
      </c>
      <c r="C9" s="74">
        <v>1</v>
      </c>
      <c r="E9" s="74" t="s">
        <v>777</v>
      </c>
      <c r="F9" s="74">
        <v>7</v>
      </c>
    </row>
    <row r="10" spans="1:6" x14ac:dyDescent="0.3">
      <c r="A10" s="74" t="s">
        <v>778</v>
      </c>
      <c r="B10" s="74">
        <v>6</v>
      </c>
      <c r="C10" s="74">
        <v>6</v>
      </c>
      <c r="E10" s="74" t="s">
        <v>779</v>
      </c>
      <c r="F10" s="74">
        <v>7</v>
      </c>
    </row>
    <row r="11" spans="1:6" x14ac:dyDescent="0.3">
      <c r="A11" s="74" t="s">
        <v>780</v>
      </c>
      <c r="B11" s="74">
        <v>2</v>
      </c>
      <c r="C11" s="74">
        <v>2</v>
      </c>
      <c r="E11" s="74" t="s">
        <v>781</v>
      </c>
      <c r="F11" s="74">
        <v>5</v>
      </c>
    </row>
    <row r="12" spans="1:6" x14ac:dyDescent="0.3">
      <c r="A12" s="74" t="s">
        <v>782</v>
      </c>
      <c r="B12" s="74">
        <v>1</v>
      </c>
      <c r="C12" s="74">
        <v>1</v>
      </c>
      <c r="E12" s="74" t="s">
        <v>783</v>
      </c>
      <c r="F12" s="74">
        <v>5</v>
      </c>
    </row>
    <row r="13" spans="1:6" x14ac:dyDescent="0.3">
      <c r="A13" s="75" t="s">
        <v>784</v>
      </c>
      <c r="B13" s="75">
        <v>7</v>
      </c>
      <c r="C13" s="75">
        <v>7</v>
      </c>
      <c r="E13" s="74" t="s">
        <v>785</v>
      </c>
      <c r="F13" s="74">
        <v>5</v>
      </c>
    </row>
    <row r="14" spans="1:6" x14ac:dyDescent="0.3">
      <c r="A14" s="74" t="s">
        <v>22</v>
      </c>
      <c r="B14" s="74">
        <v>7</v>
      </c>
      <c r="C14" s="74">
        <v>7</v>
      </c>
      <c r="E14" s="74" t="s">
        <v>786</v>
      </c>
      <c r="F14" s="74">
        <v>5</v>
      </c>
    </row>
    <row r="15" spans="1:6" x14ac:dyDescent="0.3">
      <c r="A15" s="75" t="s">
        <v>787</v>
      </c>
      <c r="B15" s="75">
        <v>3</v>
      </c>
      <c r="C15" s="75">
        <v>3</v>
      </c>
      <c r="E15" s="74" t="s">
        <v>788</v>
      </c>
      <c r="F15" s="74">
        <v>4</v>
      </c>
    </row>
    <row r="16" spans="1:6" x14ac:dyDescent="0.3">
      <c r="A16" s="74" t="s">
        <v>17</v>
      </c>
      <c r="B16" s="74">
        <v>3</v>
      </c>
      <c r="C16" s="74">
        <v>3</v>
      </c>
      <c r="E16" s="74" t="s">
        <v>789</v>
      </c>
      <c r="F16" s="74">
        <v>4</v>
      </c>
    </row>
    <row r="17" spans="1:6" x14ac:dyDescent="0.3">
      <c r="A17" s="75" t="s">
        <v>790</v>
      </c>
      <c r="B17" s="75">
        <v>13</v>
      </c>
      <c r="C17" s="75">
        <v>13</v>
      </c>
      <c r="E17" s="74" t="s">
        <v>791</v>
      </c>
      <c r="F17" s="74">
        <v>4</v>
      </c>
    </row>
    <row r="18" spans="1:6" x14ac:dyDescent="0.3">
      <c r="A18" s="74" t="s">
        <v>792</v>
      </c>
      <c r="B18" s="74">
        <v>1</v>
      </c>
      <c r="C18" s="74">
        <v>1</v>
      </c>
      <c r="E18" s="74" t="s">
        <v>793</v>
      </c>
      <c r="F18" s="74">
        <v>3</v>
      </c>
    </row>
    <row r="19" spans="1:6" x14ac:dyDescent="0.3">
      <c r="A19" s="74" t="s">
        <v>794</v>
      </c>
      <c r="B19" s="74">
        <v>3</v>
      </c>
      <c r="C19" s="74">
        <v>3</v>
      </c>
      <c r="E19" s="74" t="s">
        <v>790</v>
      </c>
      <c r="F19" s="74">
        <v>3</v>
      </c>
    </row>
    <row r="20" spans="1:6" x14ac:dyDescent="0.3">
      <c r="A20" s="74" t="s">
        <v>23</v>
      </c>
      <c r="B20" s="74">
        <v>3</v>
      </c>
      <c r="C20" s="74">
        <v>3</v>
      </c>
      <c r="E20" s="74" t="s">
        <v>795</v>
      </c>
      <c r="F20" s="74">
        <v>3</v>
      </c>
    </row>
    <row r="21" spans="1:6" x14ac:dyDescent="0.3">
      <c r="A21" s="74" t="s">
        <v>796</v>
      </c>
      <c r="B21" s="74">
        <v>1</v>
      </c>
      <c r="C21" s="74">
        <v>1</v>
      </c>
      <c r="E21" s="74" t="s">
        <v>797</v>
      </c>
      <c r="F21" s="74">
        <v>3</v>
      </c>
    </row>
    <row r="22" spans="1:6" x14ac:dyDescent="0.3">
      <c r="A22" s="74" t="s">
        <v>798</v>
      </c>
      <c r="B22" s="74">
        <v>2</v>
      </c>
      <c r="C22" s="74">
        <v>2</v>
      </c>
    </row>
    <row r="23" spans="1:6" x14ac:dyDescent="0.3">
      <c r="A23" s="74" t="s">
        <v>799</v>
      </c>
      <c r="B23" s="74">
        <v>1</v>
      </c>
      <c r="C23" s="74">
        <v>1</v>
      </c>
    </row>
    <row r="24" spans="1:6" x14ac:dyDescent="0.3">
      <c r="A24" s="74" t="s">
        <v>800</v>
      </c>
      <c r="B24" s="74">
        <v>2</v>
      </c>
      <c r="C24" s="74">
        <v>2</v>
      </c>
    </row>
    <row r="25" spans="1:6" x14ac:dyDescent="0.3">
      <c r="A25" s="75" t="s">
        <v>779</v>
      </c>
      <c r="B25" s="75">
        <v>24</v>
      </c>
      <c r="C25" s="75">
        <v>24</v>
      </c>
    </row>
    <row r="26" spans="1:6" x14ac:dyDescent="0.3">
      <c r="A26" s="74" t="s">
        <v>801</v>
      </c>
      <c r="B26" s="74">
        <v>4</v>
      </c>
      <c r="C26" s="74">
        <v>4</v>
      </c>
    </row>
    <row r="27" spans="1:6" x14ac:dyDescent="0.3">
      <c r="A27" s="74" t="s">
        <v>24</v>
      </c>
      <c r="B27" s="74">
        <v>7</v>
      </c>
      <c r="C27" s="74">
        <v>7</v>
      </c>
    </row>
    <row r="28" spans="1:6" x14ac:dyDescent="0.3">
      <c r="A28" s="74" t="s">
        <v>802</v>
      </c>
      <c r="B28" s="74">
        <v>2</v>
      </c>
      <c r="C28" s="74">
        <v>2</v>
      </c>
    </row>
    <row r="29" spans="1:6" x14ac:dyDescent="0.3">
      <c r="A29" s="74" t="s">
        <v>803</v>
      </c>
      <c r="B29" s="74">
        <v>10</v>
      </c>
      <c r="C29" s="74">
        <v>10</v>
      </c>
    </row>
    <row r="30" spans="1:6" x14ac:dyDescent="0.3">
      <c r="A30" s="74" t="s">
        <v>804</v>
      </c>
      <c r="B30" s="74">
        <v>1</v>
      </c>
      <c r="C30" s="74">
        <v>1</v>
      </c>
    </row>
    <row r="31" spans="1:6" x14ac:dyDescent="0.3">
      <c r="A31" s="75" t="s">
        <v>805</v>
      </c>
      <c r="B31" s="75">
        <v>36</v>
      </c>
      <c r="C31" s="75">
        <v>36</v>
      </c>
    </row>
    <row r="32" spans="1:6" x14ac:dyDescent="0.3">
      <c r="A32" s="74" t="s">
        <v>806</v>
      </c>
      <c r="B32" s="74">
        <v>1</v>
      </c>
      <c r="C32" s="74">
        <v>1</v>
      </c>
    </row>
    <row r="33" spans="1:3" x14ac:dyDescent="0.3">
      <c r="A33" s="74" t="s">
        <v>25</v>
      </c>
      <c r="B33" s="74">
        <v>4</v>
      </c>
      <c r="C33" s="74">
        <v>4</v>
      </c>
    </row>
    <row r="34" spans="1:3" x14ac:dyDescent="0.3">
      <c r="A34" s="74" t="s">
        <v>807</v>
      </c>
      <c r="B34" s="74">
        <v>18</v>
      </c>
      <c r="C34" s="74">
        <v>18</v>
      </c>
    </row>
    <row r="35" spans="1:3" x14ac:dyDescent="0.3">
      <c r="A35" s="74" t="s">
        <v>808</v>
      </c>
      <c r="B35" s="74">
        <v>1</v>
      </c>
      <c r="C35" s="74">
        <v>1</v>
      </c>
    </row>
    <row r="36" spans="1:3" x14ac:dyDescent="0.3">
      <c r="A36" s="74" t="s">
        <v>809</v>
      </c>
      <c r="B36" s="74">
        <v>3</v>
      </c>
      <c r="C36" s="74">
        <v>3</v>
      </c>
    </row>
    <row r="37" spans="1:3" x14ac:dyDescent="0.3">
      <c r="A37" s="74" t="s">
        <v>810</v>
      </c>
      <c r="B37" s="74">
        <v>4</v>
      </c>
      <c r="C37" s="74">
        <v>4</v>
      </c>
    </row>
    <row r="38" spans="1:3" x14ac:dyDescent="0.3">
      <c r="A38" s="74" t="s">
        <v>811</v>
      </c>
      <c r="B38" s="74">
        <v>2</v>
      </c>
      <c r="C38" s="74">
        <v>2</v>
      </c>
    </row>
    <row r="39" spans="1:3" x14ac:dyDescent="0.3">
      <c r="A39" s="74" t="s">
        <v>812</v>
      </c>
      <c r="B39" s="74">
        <v>3</v>
      </c>
      <c r="C39" s="74">
        <v>3</v>
      </c>
    </row>
    <row r="40" spans="1:3" x14ac:dyDescent="0.3">
      <c r="A40" s="75" t="s">
        <v>773</v>
      </c>
      <c r="B40" s="75">
        <v>46</v>
      </c>
      <c r="C40" s="75">
        <v>44</v>
      </c>
    </row>
    <row r="41" spans="1:3" x14ac:dyDescent="0.3">
      <c r="A41" s="74" t="s">
        <v>813</v>
      </c>
      <c r="B41" s="74">
        <v>1</v>
      </c>
      <c r="C41" s="74">
        <v>1</v>
      </c>
    </row>
    <row r="42" spans="1:3" x14ac:dyDescent="0.3">
      <c r="A42" s="74" t="s">
        <v>26</v>
      </c>
      <c r="B42" s="74">
        <v>11</v>
      </c>
      <c r="C42" s="74">
        <v>10.5</v>
      </c>
    </row>
    <row r="43" spans="1:3" x14ac:dyDescent="0.3">
      <c r="A43" s="74" t="s">
        <v>814</v>
      </c>
      <c r="B43" s="74">
        <v>5</v>
      </c>
      <c r="C43" s="74">
        <v>5</v>
      </c>
    </row>
    <row r="44" spans="1:3" x14ac:dyDescent="0.3">
      <c r="A44" s="74" t="s">
        <v>815</v>
      </c>
      <c r="B44" s="74">
        <v>2</v>
      </c>
      <c r="C44" s="74">
        <v>1</v>
      </c>
    </row>
    <row r="45" spans="1:3" x14ac:dyDescent="0.3">
      <c r="A45" s="74" t="s">
        <v>816</v>
      </c>
      <c r="B45" s="74">
        <v>1</v>
      </c>
      <c r="C45" s="74">
        <v>0.7</v>
      </c>
    </row>
    <row r="46" spans="1:3" x14ac:dyDescent="0.3">
      <c r="A46" s="74" t="s">
        <v>817</v>
      </c>
      <c r="B46" s="74">
        <v>2</v>
      </c>
      <c r="C46" s="74">
        <v>2</v>
      </c>
    </row>
    <row r="47" spans="1:3" x14ac:dyDescent="0.3">
      <c r="A47" s="74" t="s">
        <v>818</v>
      </c>
      <c r="B47" s="74">
        <v>2</v>
      </c>
      <c r="C47" s="74">
        <v>2</v>
      </c>
    </row>
    <row r="48" spans="1:3" x14ac:dyDescent="0.3">
      <c r="A48" s="74" t="s">
        <v>819</v>
      </c>
      <c r="B48" s="74">
        <v>1</v>
      </c>
      <c r="C48" s="74">
        <v>1</v>
      </c>
    </row>
    <row r="49" spans="1:3" x14ac:dyDescent="0.3">
      <c r="A49" s="74" t="s">
        <v>820</v>
      </c>
      <c r="B49" s="74">
        <v>1</v>
      </c>
      <c r="C49" s="74">
        <v>1</v>
      </c>
    </row>
    <row r="50" spans="1:3" x14ac:dyDescent="0.3">
      <c r="A50" s="74" t="s">
        <v>821</v>
      </c>
      <c r="B50" s="74">
        <v>1</v>
      </c>
      <c r="C50" s="74">
        <v>0.8</v>
      </c>
    </row>
    <row r="51" spans="1:3" x14ac:dyDescent="0.3">
      <c r="A51" s="74" t="s">
        <v>822</v>
      </c>
      <c r="B51" s="74">
        <v>1</v>
      </c>
      <c r="C51" s="74">
        <v>1</v>
      </c>
    </row>
    <row r="52" spans="1:3" x14ac:dyDescent="0.3">
      <c r="A52" s="74" t="s">
        <v>823</v>
      </c>
      <c r="B52" s="74">
        <v>16</v>
      </c>
      <c r="C52" s="74">
        <v>16</v>
      </c>
    </row>
    <row r="53" spans="1:3" x14ac:dyDescent="0.3">
      <c r="A53" s="74" t="s">
        <v>824</v>
      </c>
      <c r="B53" s="74">
        <v>1</v>
      </c>
      <c r="C53" s="74">
        <v>1</v>
      </c>
    </row>
    <row r="54" spans="1:3" x14ac:dyDescent="0.3">
      <c r="A54" s="74" t="s">
        <v>825</v>
      </c>
      <c r="B54" s="74">
        <v>1</v>
      </c>
      <c r="C54" s="74">
        <v>1</v>
      </c>
    </row>
    <row r="55" spans="1:3" x14ac:dyDescent="0.3">
      <c r="A55" s="75" t="s">
        <v>781</v>
      </c>
      <c r="B55" s="75">
        <v>8</v>
      </c>
      <c r="C55" s="75">
        <v>8</v>
      </c>
    </row>
    <row r="56" spans="1:3" x14ac:dyDescent="0.3">
      <c r="A56" s="74" t="s">
        <v>826</v>
      </c>
      <c r="B56" s="74">
        <v>1</v>
      </c>
      <c r="C56" s="74">
        <v>1</v>
      </c>
    </row>
    <row r="57" spans="1:3" x14ac:dyDescent="0.3">
      <c r="A57" s="74" t="s">
        <v>31</v>
      </c>
      <c r="B57" s="74">
        <v>5</v>
      </c>
      <c r="C57" s="74">
        <v>5</v>
      </c>
    </row>
    <row r="58" spans="1:3" x14ac:dyDescent="0.3">
      <c r="A58" s="74" t="s">
        <v>827</v>
      </c>
      <c r="B58" s="74">
        <v>2</v>
      </c>
      <c r="C58" s="74">
        <v>2</v>
      </c>
    </row>
    <row r="59" spans="1:3" x14ac:dyDescent="0.3">
      <c r="A59" s="75" t="s">
        <v>795</v>
      </c>
      <c r="B59" s="75">
        <v>33</v>
      </c>
      <c r="C59" s="75">
        <v>31</v>
      </c>
    </row>
    <row r="60" spans="1:3" x14ac:dyDescent="0.3">
      <c r="A60" s="74" t="s">
        <v>828</v>
      </c>
      <c r="B60" s="74">
        <v>1</v>
      </c>
      <c r="C60" s="74">
        <v>0.5</v>
      </c>
    </row>
    <row r="61" spans="1:3" x14ac:dyDescent="0.3">
      <c r="A61" s="74" t="s">
        <v>33</v>
      </c>
      <c r="B61" s="74">
        <v>3</v>
      </c>
      <c r="C61" s="74">
        <v>3</v>
      </c>
    </row>
    <row r="62" spans="1:3" x14ac:dyDescent="0.3">
      <c r="A62" s="74" t="s">
        <v>829</v>
      </c>
      <c r="B62" s="74">
        <v>1</v>
      </c>
      <c r="C62" s="74">
        <v>1</v>
      </c>
    </row>
    <row r="63" spans="1:3" x14ac:dyDescent="0.3">
      <c r="A63" s="74" t="s">
        <v>830</v>
      </c>
      <c r="B63" s="74">
        <v>1</v>
      </c>
      <c r="C63" s="74">
        <v>1</v>
      </c>
    </row>
    <row r="64" spans="1:3" x14ac:dyDescent="0.3">
      <c r="A64" s="74" t="s">
        <v>831</v>
      </c>
      <c r="B64" s="74">
        <v>2</v>
      </c>
      <c r="C64" s="74">
        <v>2</v>
      </c>
    </row>
    <row r="65" spans="1:3" x14ac:dyDescent="0.3">
      <c r="A65" s="74" t="s">
        <v>832</v>
      </c>
      <c r="B65" s="74">
        <v>2</v>
      </c>
      <c r="C65" s="74">
        <v>2</v>
      </c>
    </row>
    <row r="66" spans="1:3" x14ac:dyDescent="0.3">
      <c r="A66" s="74" t="s">
        <v>833</v>
      </c>
      <c r="B66" s="74">
        <v>2</v>
      </c>
      <c r="C66" s="74">
        <v>2</v>
      </c>
    </row>
    <row r="67" spans="1:3" x14ac:dyDescent="0.3">
      <c r="A67" s="74" t="s">
        <v>834</v>
      </c>
      <c r="B67" s="74">
        <v>2</v>
      </c>
      <c r="C67" s="74">
        <v>2</v>
      </c>
    </row>
    <row r="68" spans="1:3" x14ac:dyDescent="0.3">
      <c r="A68" s="74" t="s">
        <v>835</v>
      </c>
      <c r="B68" s="74">
        <v>2</v>
      </c>
      <c r="C68" s="74">
        <v>1.5</v>
      </c>
    </row>
    <row r="69" spans="1:3" x14ac:dyDescent="0.3">
      <c r="A69" s="74" t="s">
        <v>836</v>
      </c>
      <c r="B69" s="74">
        <v>7</v>
      </c>
      <c r="C69" s="74">
        <v>7</v>
      </c>
    </row>
    <row r="70" spans="1:3" x14ac:dyDescent="0.3">
      <c r="A70" s="74" t="s">
        <v>837</v>
      </c>
      <c r="B70" s="74">
        <v>2</v>
      </c>
      <c r="C70" s="74">
        <v>1</v>
      </c>
    </row>
    <row r="71" spans="1:3" x14ac:dyDescent="0.3">
      <c r="A71" s="74" t="s">
        <v>838</v>
      </c>
      <c r="B71" s="74">
        <v>1</v>
      </c>
      <c r="C71" s="74">
        <v>1</v>
      </c>
    </row>
    <row r="72" spans="1:3" x14ac:dyDescent="0.3">
      <c r="A72" s="74" t="s">
        <v>839</v>
      </c>
      <c r="B72" s="74">
        <v>1</v>
      </c>
      <c r="C72" s="74">
        <v>1</v>
      </c>
    </row>
    <row r="73" spans="1:3" x14ac:dyDescent="0.3">
      <c r="A73" s="74" t="s">
        <v>840</v>
      </c>
      <c r="B73" s="74">
        <v>1</v>
      </c>
      <c r="C73" s="74">
        <v>1</v>
      </c>
    </row>
    <row r="74" spans="1:3" x14ac:dyDescent="0.3">
      <c r="A74" s="74" t="s">
        <v>841</v>
      </c>
      <c r="B74" s="74">
        <v>4</v>
      </c>
      <c r="C74" s="74">
        <v>4</v>
      </c>
    </row>
    <row r="75" spans="1:3" x14ac:dyDescent="0.3">
      <c r="A75" s="74" t="s">
        <v>842</v>
      </c>
      <c r="B75" s="74">
        <v>1</v>
      </c>
      <c r="C75" s="74">
        <v>1</v>
      </c>
    </row>
    <row r="76" spans="1:3" x14ac:dyDescent="0.3">
      <c r="A76" s="75" t="s">
        <v>789</v>
      </c>
      <c r="B76" s="75">
        <v>16</v>
      </c>
      <c r="C76" s="75">
        <v>15</v>
      </c>
    </row>
    <row r="77" spans="1:3" x14ac:dyDescent="0.3">
      <c r="A77" s="74" t="s">
        <v>843</v>
      </c>
      <c r="B77" s="74">
        <v>1</v>
      </c>
      <c r="C77" s="74">
        <v>1</v>
      </c>
    </row>
    <row r="78" spans="1:3" x14ac:dyDescent="0.3">
      <c r="A78" s="74" t="s">
        <v>29</v>
      </c>
      <c r="B78" s="74">
        <v>4</v>
      </c>
      <c r="C78" s="74">
        <v>4</v>
      </c>
    </row>
    <row r="79" spans="1:3" x14ac:dyDescent="0.3">
      <c r="A79" s="74" t="s">
        <v>844</v>
      </c>
      <c r="B79" s="74">
        <v>4</v>
      </c>
      <c r="C79" s="74">
        <v>3.5</v>
      </c>
    </row>
    <row r="80" spans="1:3" x14ac:dyDescent="0.3">
      <c r="A80" s="74" t="s">
        <v>845</v>
      </c>
      <c r="B80" s="74">
        <v>2</v>
      </c>
      <c r="C80" s="74">
        <v>2</v>
      </c>
    </row>
    <row r="81" spans="1:3" x14ac:dyDescent="0.3">
      <c r="A81" s="74" t="s">
        <v>846</v>
      </c>
      <c r="B81" s="74">
        <v>2</v>
      </c>
      <c r="C81" s="74">
        <v>2</v>
      </c>
    </row>
    <row r="82" spans="1:3" x14ac:dyDescent="0.3">
      <c r="A82" s="74" t="s">
        <v>847</v>
      </c>
      <c r="B82" s="74">
        <v>1</v>
      </c>
      <c r="C82" s="74">
        <v>0.5</v>
      </c>
    </row>
    <row r="83" spans="1:3" x14ac:dyDescent="0.3">
      <c r="A83" s="74" t="s">
        <v>848</v>
      </c>
      <c r="B83" s="74">
        <v>1</v>
      </c>
      <c r="C83" s="74">
        <v>1</v>
      </c>
    </row>
    <row r="84" spans="1:3" x14ac:dyDescent="0.3">
      <c r="A84" s="74" t="s">
        <v>849</v>
      </c>
      <c r="B84" s="74">
        <v>1</v>
      </c>
      <c r="C84" s="74">
        <v>1</v>
      </c>
    </row>
    <row r="85" spans="1:3" x14ac:dyDescent="0.3">
      <c r="A85" s="75" t="s">
        <v>775</v>
      </c>
      <c r="B85" s="75">
        <v>9</v>
      </c>
      <c r="C85" s="75">
        <v>9</v>
      </c>
    </row>
    <row r="86" spans="1:3" x14ac:dyDescent="0.3">
      <c r="A86" s="74" t="s">
        <v>850</v>
      </c>
      <c r="B86" s="74">
        <v>1</v>
      </c>
      <c r="C86" s="74">
        <v>1</v>
      </c>
    </row>
    <row r="87" spans="1:3" x14ac:dyDescent="0.3">
      <c r="A87" s="74" t="s">
        <v>650</v>
      </c>
      <c r="B87" s="74">
        <v>8</v>
      </c>
      <c r="C87" s="74">
        <v>8</v>
      </c>
    </row>
    <row r="88" spans="1:3" x14ac:dyDescent="0.3">
      <c r="A88" s="75" t="s">
        <v>851</v>
      </c>
      <c r="B88" s="75">
        <v>5</v>
      </c>
      <c r="C88" s="75">
        <v>5</v>
      </c>
    </row>
    <row r="89" spans="1:3" x14ac:dyDescent="0.3">
      <c r="A89" s="74" t="s">
        <v>28</v>
      </c>
      <c r="B89" s="74">
        <v>5</v>
      </c>
      <c r="C89" s="74">
        <v>5</v>
      </c>
    </row>
    <row r="90" spans="1:3" x14ac:dyDescent="0.3">
      <c r="A90" s="75" t="s">
        <v>797</v>
      </c>
      <c r="B90" s="75">
        <v>19</v>
      </c>
      <c r="C90" s="75">
        <v>19</v>
      </c>
    </row>
    <row r="91" spans="1:3" x14ac:dyDescent="0.3">
      <c r="A91" s="74" t="s">
        <v>852</v>
      </c>
      <c r="B91" s="74">
        <v>1</v>
      </c>
      <c r="C91" s="74">
        <v>1</v>
      </c>
    </row>
    <row r="92" spans="1:3" x14ac:dyDescent="0.3">
      <c r="A92" s="74" t="s">
        <v>853</v>
      </c>
      <c r="B92" s="74">
        <v>2</v>
      </c>
      <c r="C92" s="74">
        <v>2</v>
      </c>
    </row>
    <row r="93" spans="1:3" x14ac:dyDescent="0.3">
      <c r="A93" s="74" t="s">
        <v>854</v>
      </c>
      <c r="B93" s="74">
        <v>1</v>
      </c>
      <c r="C93" s="74">
        <v>1</v>
      </c>
    </row>
    <row r="94" spans="1:3" x14ac:dyDescent="0.3">
      <c r="A94" s="74" t="s">
        <v>855</v>
      </c>
      <c r="B94" s="74">
        <v>2</v>
      </c>
      <c r="C94" s="74">
        <v>2</v>
      </c>
    </row>
    <row r="95" spans="1:3" x14ac:dyDescent="0.3">
      <c r="A95" s="74" t="s">
        <v>30</v>
      </c>
      <c r="B95" s="74">
        <v>3</v>
      </c>
      <c r="C95" s="74">
        <v>3</v>
      </c>
    </row>
    <row r="96" spans="1:3" x14ac:dyDescent="0.3">
      <c r="A96" s="74" t="s">
        <v>856</v>
      </c>
      <c r="B96" s="74">
        <v>4</v>
      </c>
      <c r="C96" s="74">
        <v>4</v>
      </c>
    </row>
    <row r="97" spans="1:3" x14ac:dyDescent="0.3">
      <c r="A97" s="74" t="s">
        <v>857</v>
      </c>
      <c r="B97" s="74">
        <v>1</v>
      </c>
      <c r="C97" s="74">
        <v>1</v>
      </c>
    </row>
    <row r="98" spans="1:3" x14ac:dyDescent="0.3">
      <c r="A98" s="74" t="s">
        <v>858</v>
      </c>
      <c r="B98" s="74">
        <v>1</v>
      </c>
      <c r="C98" s="74">
        <v>1</v>
      </c>
    </row>
    <row r="99" spans="1:3" x14ac:dyDescent="0.3">
      <c r="A99" s="74" t="s">
        <v>859</v>
      </c>
      <c r="B99" s="74">
        <v>1</v>
      </c>
      <c r="C99" s="74">
        <v>1</v>
      </c>
    </row>
    <row r="100" spans="1:3" x14ac:dyDescent="0.3">
      <c r="A100" s="74" t="s">
        <v>860</v>
      </c>
      <c r="B100" s="74">
        <v>3</v>
      </c>
      <c r="C100" s="74">
        <v>3</v>
      </c>
    </row>
    <row r="101" spans="1:3" x14ac:dyDescent="0.3">
      <c r="A101" s="75" t="s">
        <v>785</v>
      </c>
      <c r="B101" s="75">
        <v>20</v>
      </c>
      <c r="C101" s="75">
        <v>20</v>
      </c>
    </row>
    <row r="102" spans="1:3" x14ac:dyDescent="0.3">
      <c r="A102" s="74" t="s">
        <v>861</v>
      </c>
      <c r="B102" s="74">
        <v>5</v>
      </c>
      <c r="C102" s="74">
        <v>5</v>
      </c>
    </row>
    <row r="103" spans="1:3" x14ac:dyDescent="0.3">
      <c r="A103" s="74" t="s">
        <v>862</v>
      </c>
      <c r="B103" s="74">
        <v>2</v>
      </c>
      <c r="C103" s="74">
        <v>2</v>
      </c>
    </row>
    <row r="104" spans="1:3" x14ac:dyDescent="0.3">
      <c r="A104" s="74" t="s">
        <v>863</v>
      </c>
      <c r="B104" s="74">
        <v>6</v>
      </c>
      <c r="C104" s="74">
        <v>6</v>
      </c>
    </row>
    <row r="105" spans="1:3" x14ac:dyDescent="0.3">
      <c r="A105" s="74" t="s">
        <v>864</v>
      </c>
      <c r="B105" s="74">
        <v>2</v>
      </c>
      <c r="C105" s="74">
        <v>2</v>
      </c>
    </row>
    <row r="106" spans="1:3" x14ac:dyDescent="0.3">
      <c r="A106" s="74" t="s">
        <v>32</v>
      </c>
      <c r="B106" s="74">
        <v>5</v>
      </c>
      <c r="C106" s="74">
        <v>5</v>
      </c>
    </row>
    <row r="107" spans="1:3" x14ac:dyDescent="0.3">
      <c r="A107" s="75" t="s">
        <v>786</v>
      </c>
      <c r="B107" s="75">
        <v>30</v>
      </c>
      <c r="C107" s="75">
        <v>29.5</v>
      </c>
    </row>
    <row r="108" spans="1:3" x14ac:dyDescent="0.3">
      <c r="A108" s="74" t="s">
        <v>865</v>
      </c>
      <c r="B108" s="74">
        <v>4</v>
      </c>
      <c r="C108" s="74">
        <v>4</v>
      </c>
    </row>
    <row r="109" spans="1:3" x14ac:dyDescent="0.3">
      <c r="A109" s="74" t="s">
        <v>866</v>
      </c>
      <c r="B109" s="74">
        <v>7</v>
      </c>
      <c r="C109" s="74">
        <v>7</v>
      </c>
    </row>
    <row r="110" spans="1:3" x14ac:dyDescent="0.3">
      <c r="A110" s="74" t="s">
        <v>867</v>
      </c>
      <c r="B110" s="74">
        <v>3</v>
      </c>
      <c r="C110" s="74">
        <v>3</v>
      </c>
    </row>
    <row r="111" spans="1:3" x14ac:dyDescent="0.3">
      <c r="A111" s="74" t="s">
        <v>868</v>
      </c>
      <c r="B111" s="74">
        <v>3</v>
      </c>
      <c r="C111" s="74">
        <v>3</v>
      </c>
    </row>
    <row r="112" spans="1:3" x14ac:dyDescent="0.3">
      <c r="A112" s="74" t="s">
        <v>869</v>
      </c>
      <c r="B112" s="74">
        <v>2</v>
      </c>
      <c r="C112" s="74">
        <v>2</v>
      </c>
    </row>
    <row r="113" spans="1:3" x14ac:dyDescent="0.3">
      <c r="A113" s="74" t="s">
        <v>870</v>
      </c>
      <c r="B113" s="74">
        <v>1</v>
      </c>
      <c r="C113" s="74">
        <v>1</v>
      </c>
    </row>
    <row r="114" spans="1:3" x14ac:dyDescent="0.3">
      <c r="A114" s="74" t="s">
        <v>871</v>
      </c>
      <c r="B114" s="74">
        <v>2</v>
      </c>
      <c r="C114" s="74">
        <v>1.5</v>
      </c>
    </row>
    <row r="115" spans="1:3" x14ac:dyDescent="0.3">
      <c r="A115" s="74" t="s">
        <v>36</v>
      </c>
      <c r="B115" s="74">
        <v>5</v>
      </c>
      <c r="C115" s="74">
        <v>5</v>
      </c>
    </row>
    <row r="116" spans="1:3" x14ac:dyDescent="0.3">
      <c r="A116" s="74" t="s">
        <v>872</v>
      </c>
      <c r="B116" s="74">
        <v>3</v>
      </c>
      <c r="C116" s="74">
        <v>3</v>
      </c>
    </row>
    <row r="117" spans="1:3" x14ac:dyDescent="0.3">
      <c r="A117" s="75" t="s">
        <v>791</v>
      </c>
      <c r="B117" s="75">
        <v>15</v>
      </c>
      <c r="C117" s="75">
        <v>15</v>
      </c>
    </row>
    <row r="118" spans="1:3" x14ac:dyDescent="0.3">
      <c r="A118" s="74" t="s">
        <v>873</v>
      </c>
      <c r="B118" s="74">
        <v>3</v>
      </c>
      <c r="C118" s="74">
        <v>3</v>
      </c>
    </row>
    <row r="119" spans="1:3" x14ac:dyDescent="0.3">
      <c r="A119" s="74" t="s">
        <v>874</v>
      </c>
      <c r="B119" s="74">
        <v>3</v>
      </c>
      <c r="C119" s="74">
        <v>3</v>
      </c>
    </row>
    <row r="120" spans="1:3" x14ac:dyDescent="0.3">
      <c r="A120" s="74" t="s">
        <v>875</v>
      </c>
      <c r="B120" s="74">
        <v>2</v>
      </c>
      <c r="C120" s="74">
        <v>2</v>
      </c>
    </row>
    <row r="121" spans="1:3" x14ac:dyDescent="0.3">
      <c r="A121" s="74" t="s">
        <v>876</v>
      </c>
      <c r="B121" s="74">
        <v>2</v>
      </c>
      <c r="C121" s="74">
        <v>2</v>
      </c>
    </row>
    <row r="122" spans="1:3" x14ac:dyDescent="0.3">
      <c r="A122" s="74" t="s">
        <v>877</v>
      </c>
      <c r="B122" s="74">
        <v>1</v>
      </c>
      <c r="C122" s="74">
        <v>1</v>
      </c>
    </row>
    <row r="123" spans="1:3" x14ac:dyDescent="0.3">
      <c r="A123" s="74" t="s">
        <v>27</v>
      </c>
      <c r="B123" s="74">
        <v>4</v>
      </c>
      <c r="C123" s="74">
        <v>4</v>
      </c>
    </row>
    <row r="124" spans="1:3" x14ac:dyDescent="0.3">
      <c r="A124" s="75" t="s">
        <v>878</v>
      </c>
      <c r="B124" s="75">
        <v>312</v>
      </c>
      <c r="C124" s="75">
        <v>306.5</v>
      </c>
    </row>
  </sheetData>
  <pageMargins left="0.7" right="0.7" top="0.75" bottom="0.75" header="0.3" footer="0.3"/>
  <drawing r:id="rId1"/>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Īsais_2026_2027_2028 (2)</vt:lpstr>
      <vt:lpstr>Grafiks</vt:lpstr>
      <vt:lpstr>Apkopojums (2)</vt:lpstr>
      <vt:lpstr>7.pielikums</vt:lpstr>
      <vt:lpstr>EKK_kopsavilkums</vt:lpstr>
      <vt:lpstr>Novērtējums</vt:lpstr>
      <vt:lpstr>Algas_Vkanc</vt:lpstr>
      <vt:lpstr>Piemaksas_Prēmijas_Virsstundas</vt:lpstr>
      <vt:lpstr>Komunikatori</vt:lpstr>
      <vt:lpstr>piemaksas</vt:lpstr>
      <vt:lpstr>fondi</vt:lpstr>
      <vt:lpstr>Kompensācijas izmaiņas</vt:lpstr>
      <vt:lpstr>'7.pielikums'!Print_Titles</vt:lpstr>
      <vt:lpstr>'Apkopojums (2)'!Print_Titles</vt:lpstr>
      <vt:lpstr>EKK_kopsavilkums!Print_Titles</vt:lpstr>
      <vt:lpstr>piemaksas!Print_Titles</vt:lpstr>
    </vt:vector>
  </TitlesOfParts>
  <Manager/>
  <Company>Finanšu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pielikums informatīvajam ziņojumam “Par valsts pamatbudžeta un valsts speciālā budžeta bāzi un izdevumu pārskatīšanas rezultātiem 2026., 2076., 2028. un 2029. gadam”</dc:title>
  <dc:subject>Ministriju un neatkarīgo institūciju iesniegtie priekšlikumi finansējuma samazināšanai</dc:subject>
  <dc:creator>Dace Godiņa</dc:creator>
  <cp:keywords/>
  <dc:description/>
  <cp:lastModifiedBy>Sandra Vītola</cp:lastModifiedBy>
  <cp:revision/>
  <cp:lastPrinted>2025-08-06T09:41:00Z</cp:lastPrinted>
  <dcterms:created xsi:type="dcterms:W3CDTF">2025-06-09T07:33:55Z</dcterms:created>
  <dcterms:modified xsi:type="dcterms:W3CDTF">2025-08-25T18:50:31Z</dcterms:modified>
  <cp:category>Dace.Godina@fm.gov.lv, 27320139</cp:category>
  <cp:contentStatus/>
</cp:coreProperties>
</file>